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workbookProtection workbookAlgorithmName="SHA-512" workbookHashValue="sw+hhbmwn2JVfeywdN2IBuv7JHBVQpPM4/9yPyEWklZN8moW1o4Logw/M1wfd3ju9D4pjb8SzqDEoTIZHPWFjA==" workbookSaltValue="JliWH0N+sdSIo/tLBjYg3g==" workbookSpinCount="100000" lockStructure="1"/>
  <bookViews>
    <workbookView xWindow="0" yWindow="0" windowWidth="15345" windowHeight="3735"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связи'!$A$1:$D$72</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связи'!$B$2:$E$79</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8" i="5" l="1"/>
  <c r="D60" i="5" l="1"/>
  <c r="D50" i="5"/>
  <c r="D247" i="5" l="1"/>
  <c r="D249" i="5"/>
  <c r="D246" i="5"/>
  <c r="F245" i="5"/>
  <c r="E219" i="5"/>
  <c r="F219" i="5"/>
  <c r="F198"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14" i="15" s="1"/>
  <c r="O59" i="18" l="1"/>
  <c r="AB35" i="15"/>
  <c r="P35" i="15" s="1"/>
  <c r="A50" i="15"/>
  <c r="AD50" i="15" s="1"/>
  <c r="A45" i="15"/>
  <c r="AD45" i="15" s="1"/>
  <c r="D196" i="5" l="1"/>
  <c r="E235" i="5"/>
  <c r="E236" i="5" s="1"/>
  <c r="D197" i="5"/>
  <c r="D195" i="5"/>
  <c r="D187" i="5"/>
  <c r="D186" i="5"/>
  <c r="D188" i="5" l="1"/>
  <c r="AA56" i="15"/>
  <c r="AA55" i="15"/>
  <c r="AA44" i="15"/>
  <c r="AA49" i="15"/>
  <c r="J35" i="15"/>
  <c r="H35" i="15" s="1"/>
  <c r="D190" i="5"/>
  <c r="D189" i="5"/>
  <c r="F218" i="5"/>
  <c r="A49" i="15" l="1"/>
  <c r="AD49" i="15" s="1"/>
  <c r="A55" i="15"/>
  <c r="AD55" i="15" s="1"/>
  <c r="A44" i="15"/>
  <c r="AD44" i="15" s="1"/>
  <c r="A56" i="15"/>
  <c r="AD56" i="15" s="1"/>
  <c r="D13" i="5"/>
  <c r="D191" i="5" l="1"/>
  <c r="E6" i="16"/>
  <c r="D32" i="16" s="1"/>
  <c r="D192" i="5" l="1"/>
  <c r="F13" i="5"/>
  <c r="D193" i="5" l="1"/>
  <c r="D218" i="5"/>
  <c r="F12" i="5"/>
  <c r="E218" i="5" l="1"/>
  <c r="F63" i="5"/>
  <c r="F50" i="5"/>
  <c r="D194" i="5" l="1"/>
  <c r="D198" i="5" s="1"/>
  <c r="H56" i="15"/>
  <c r="H58" i="15"/>
  <c r="H55" i="15"/>
  <c r="H52" i="15"/>
  <c r="H50" i="15"/>
  <c r="H49" i="15"/>
  <c r="H48" i="15"/>
  <c r="H45" i="15"/>
  <c r="H44" i="15"/>
  <c r="H43" i="15"/>
  <c r="H42" i="15" s="1"/>
  <c r="H39" i="15"/>
  <c r="H38" i="15"/>
  <c r="H34" i="15"/>
  <c r="H24" i="15"/>
  <c r="H47" i="15" l="1"/>
  <c r="F240" i="5"/>
  <c r="E243" i="5" l="1"/>
  <c r="D243" i="5"/>
  <c r="AI12" i="4"/>
  <c r="AI11" i="4" s="1"/>
  <c r="AL24" i="4" l="1"/>
  <c r="E159" i="5" l="1"/>
  <c r="F60" i="5"/>
  <c r="L252" i="5" l="1"/>
  <c r="D235" i="5"/>
  <c r="F235" i="5"/>
  <c r="F236" i="5" s="1"/>
  <c r="G235" i="5"/>
  <c r="H235" i="5"/>
  <c r="I235" i="5"/>
  <c r="J235" i="5"/>
  <c r="C103" i="5"/>
  <c r="C202" i="5"/>
  <c r="B274" i="5"/>
  <c r="B266" i="5"/>
  <c r="B239" i="5"/>
  <c r="B163" i="5"/>
  <c r="B79" i="5"/>
  <c r="B42" i="5"/>
  <c r="F66" i="5" l="1"/>
  <c r="F65" i="5"/>
  <c r="F46" i="5"/>
  <c r="F45" i="5"/>
  <c r="E153" i="5" l="1"/>
  <c r="E149" i="5"/>
  <c r="E145" i="5"/>
  <c r="C86" i="5" l="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C114" i="5" s="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D151" i="5"/>
  <c r="E150" i="5" s="1"/>
  <c r="I15" i="11" l="1"/>
  <c r="I14" i="11"/>
  <c r="B15" i="11"/>
  <c r="E270" i="5" l="1"/>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AA63" i="15" l="1"/>
  <c r="AA68" i="15"/>
  <c r="AA62" i="15"/>
  <c r="AA69" i="15"/>
  <c r="AA64" i="15"/>
  <c r="G62" i="5"/>
  <c r="B139" i="6" s="1"/>
  <c r="AA22" i="15"/>
  <c r="AA21" i="15"/>
  <c r="C23" i="8"/>
  <c r="C25" i="8"/>
  <c r="C24" i="8"/>
  <c r="C26"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A62" i="15" l="1"/>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P32" i="15" s="1"/>
  <c r="AA43" i="15" l="1"/>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64" i="5" s="1"/>
  <c r="E286" i="5" s="1"/>
  <c r="O8" i="18"/>
  <c r="O10" i="18"/>
  <c r="O7" i="18"/>
  <c r="D146" i="20"/>
  <c r="E173" i="20" s="1"/>
  <c r="O90" i="20"/>
  <c r="M90" i="20" l="1"/>
  <c r="AA90" i="20"/>
  <c r="AC90" i="20"/>
  <c r="AE90" i="20"/>
  <c r="K90" i="20"/>
  <c r="I90" i="20"/>
  <c r="L264" i="5" l="1"/>
  <c r="F286" i="5"/>
  <c r="S90" i="20"/>
  <c r="Q90" i="20"/>
  <c r="U90" i="20" l="1"/>
  <c r="W90" i="20" l="1"/>
  <c r="Y90" i="20"/>
  <c r="AG7" i="4" l="1"/>
  <c r="AG8" i="4"/>
  <c r="AG9" i="4"/>
  <c r="AG4" i="4"/>
  <c r="AG5" i="4"/>
  <c r="AG6" i="4"/>
  <c r="C90" i="20" l="1"/>
  <c r="D95" i="6"/>
  <c r="AE38" i="15"/>
  <c r="AB15" i="15" l="1"/>
  <c r="J15" i="15" s="1"/>
  <c r="H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O9" i="15"/>
  <c r="AA12" i="15"/>
  <c r="C131" i="20"/>
  <c r="J9" i="15"/>
  <c r="H9" i="15" s="1"/>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J37" i="15" s="1"/>
  <c r="AB74" i="15"/>
  <c r="J74" i="15" s="1"/>
  <c r="AB76" i="15"/>
  <c r="J12" i="15"/>
  <c r="H12" i="15" s="1"/>
  <c r="A61" i="15"/>
  <c r="C33" i="15" l="1"/>
  <c r="J32" i="15"/>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R34" i="18" s="1"/>
  <c r="E23" i="18"/>
  <c r="V23" i="18" s="1"/>
  <c r="W23" i="18" s="1"/>
  <c r="D23" i="18"/>
  <c r="E22" i="18"/>
  <c r="V22" i="18" s="1"/>
  <c r="W22" i="18" s="1"/>
  <c r="D22" i="18"/>
  <c r="R22" i="18" s="1"/>
  <c r="E17" i="18"/>
  <c r="D17" i="18"/>
  <c r="E15" i="18"/>
  <c r="V15" i="18" s="1"/>
  <c r="W15" i="18" s="1"/>
  <c r="D15" i="18"/>
  <c r="R15" i="18" s="1"/>
  <c r="B2" i="18"/>
  <c r="R46" i="18" l="1"/>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6" i="18" s="1"/>
  <c r="U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N76" i="18" l="1"/>
  <c r="G50" i="5" s="1"/>
  <c r="K76" i="18"/>
  <c r="M76" i="18"/>
  <c r="G48" i="5" s="1"/>
  <c r="O76" i="18"/>
  <c r="Q76" i="18"/>
  <c r="G52" i="5" s="1"/>
  <c r="R76" i="18"/>
  <c r="G55" i="5" s="1"/>
  <c r="F15" i="15" s="1"/>
  <c r="T76" i="18"/>
  <c r="G53" i="5" s="1"/>
  <c r="L76" i="18"/>
  <c r="G47" i="5" s="1"/>
  <c r="U76" i="18"/>
  <c r="G56" i="5" s="1"/>
  <c r="B136" i="6" s="1"/>
  <c r="V76" i="18"/>
  <c r="G65" i="5" s="1"/>
  <c r="F73" i="15" s="1"/>
  <c r="J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L207" i="5" l="1"/>
  <c r="G206" i="5" s="1"/>
  <c r="E161" i="6"/>
  <c r="E161" i="20"/>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G186" i="5"/>
  <c r="K198"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D139" i="20" s="1"/>
  <c r="A20" i="15"/>
  <c r="AD20" i="15" s="1"/>
  <c r="AB20" i="15"/>
  <c r="H259" i="5"/>
  <c r="D147" i="5"/>
  <c r="E146" i="5" s="1"/>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C138" i="6" s="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8" i="8"/>
  <c r="C2" i="11"/>
  <c r="M475" i="2"/>
  <c r="N475" i="2" s="1"/>
  <c r="J475" i="2"/>
  <c r="M146" i="6"/>
  <c r="T229" i="5" s="1"/>
  <c r="O146" i="6"/>
  <c r="T231" i="5" s="1"/>
  <c r="P130" i="6"/>
  <c r="A60" i="15" l="1"/>
  <c r="J67" i="15"/>
  <c r="H67" i="15" s="1"/>
  <c r="AE67" i="15"/>
  <c r="AA29" i="15"/>
  <c r="AA28" i="15"/>
  <c r="A28" i="15" s="1"/>
  <c r="AD28" i="15" s="1"/>
  <c r="AE24" i="15"/>
  <c r="Z24" i="15"/>
  <c r="D159" i="20"/>
  <c r="B139" i="20"/>
  <c r="O24" i="15" s="1"/>
  <c r="A24" i="15"/>
  <c r="AD24" i="15" s="1"/>
  <c r="AE20" i="15"/>
  <c r="J20" i="15"/>
  <c r="H20" i="15" s="1"/>
  <c r="J27" i="15"/>
  <c r="H27" i="15" s="1"/>
  <c r="AE27" i="15"/>
  <c r="C95" i="6"/>
  <c r="C138" i="20"/>
  <c r="O20" i="15" s="1"/>
  <c r="J11" i="11"/>
  <c r="J10" i="11"/>
  <c r="H264" i="5"/>
  <c r="X86" i="6"/>
  <c r="X85" i="6" s="1"/>
  <c r="C140" i="6"/>
  <c r="C140" i="20" s="1"/>
  <c r="C139" i="6"/>
  <c r="C139" i="20" s="1"/>
  <c r="C142" i="6"/>
  <c r="C142" i="20" s="1"/>
  <c r="Z86" i="6"/>
  <c r="AH16" i="6" s="1"/>
  <c r="AI16" i="6" s="1"/>
  <c r="F67" i="15"/>
  <c r="E285" i="5"/>
  <c r="F285"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5" i="15" l="1"/>
  <c r="T32" i="15"/>
  <c r="Y85" i="20"/>
  <c r="L138" i="20"/>
  <c r="G138" i="20"/>
  <c r="N138" i="20"/>
  <c r="H138" i="20"/>
  <c r="O138" i="20"/>
  <c r="I138" i="20"/>
  <c r="R138" i="20"/>
  <c r="F138" i="20"/>
  <c r="Q138" i="20"/>
  <c r="J138" i="20"/>
  <c r="K138" i="20"/>
  <c r="P138" i="20"/>
  <c r="D87" i="6"/>
  <c r="D89" i="6" s="1"/>
  <c r="E16" i="6"/>
  <c r="D16" i="6"/>
  <c r="C21" i="16" s="1"/>
  <c r="D94" i="6"/>
  <c r="M138" i="6"/>
  <c r="N138" i="6"/>
  <c r="P138" i="6"/>
  <c r="O169" i="20"/>
  <c r="O170" i="20" s="1"/>
  <c r="F138" i="6"/>
  <c r="E140" i="20"/>
  <c r="F140" i="20" s="1"/>
  <c r="AC231" i="5"/>
  <c r="AD231" i="5"/>
  <c r="AF231" i="5"/>
  <c r="Z111" i="6" s="1"/>
  <c r="AA231" i="5"/>
  <c r="Z104" i="6" s="1"/>
  <c r="Y104" i="20" s="1"/>
  <c r="AE231" i="5"/>
  <c r="AB231" i="5"/>
  <c r="Z106" i="6" s="1"/>
  <c r="Y106" i="20" s="1"/>
  <c r="Z231" i="5"/>
  <c r="AA229" i="5"/>
  <c r="V104" i="6" s="1"/>
  <c r="U104" i="20" s="1"/>
  <c r="AE229" i="5"/>
  <c r="AB229" i="5"/>
  <c r="V106" i="6" s="1"/>
  <c r="U106" i="20" s="1"/>
  <c r="AF229" i="5"/>
  <c r="V111" i="6" s="1"/>
  <c r="AC229" i="5"/>
  <c r="AD229" i="5"/>
  <c r="Z229" i="5"/>
  <c r="V102" i="6" s="1"/>
  <c r="U102" i="20" s="1"/>
  <c r="Z102" i="6"/>
  <c r="Y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Z235" i="5"/>
  <c r="Q17" i="6"/>
  <c r="Q11" i="6"/>
  <c r="Q7" i="6"/>
  <c r="Q14" i="6"/>
  <c r="T18" i="6"/>
  <c r="T6" i="6" s="1"/>
  <c r="T17" i="6" s="1"/>
  <c r="S6" i="6"/>
  <c r="S17" i="6" s="1"/>
  <c r="P101" i="6"/>
  <c r="R103" i="6"/>
  <c r="V18" i="6"/>
  <c r="Q18" i="20" s="1"/>
  <c r="Q100" i="20"/>
  <c r="R112" i="6"/>
  <c r="R107" i="6"/>
  <c r="D111" i="6"/>
  <c r="C111" i="20" s="1"/>
  <c r="D112" i="20" s="1"/>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2"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3" i="16"/>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D76" i="6" l="1"/>
  <c r="D77" i="6" s="1"/>
  <c r="R14" i="15"/>
  <c r="R9" i="15"/>
  <c r="R12" i="15"/>
  <c r="F62" i="16"/>
  <c r="F63" i="16"/>
  <c r="C18"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14" i="15"/>
  <c r="V9" i="15"/>
  <c r="V12" i="15"/>
  <c r="V20" i="15"/>
  <c r="V24" i="15"/>
  <c r="V27" i="15"/>
  <c r="V18" i="15"/>
  <c r="F14" i="6"/>
  <c r="B28" i="20"/>
  <c r="V60" i="15"/>
  <c r="W18" i="15"/>
  <c r="W67" i="15"/>
  <c r="C60" i="16" s="1"/>
  <c r="F60" i="16" s="1"/>
  <c r="V67" i="15"/>
  <c r="V62" i="15"/>
  <c r="V38" i="15"/>
  <c r="V37" i="15"/>
  <c r="D11" i="6"/>
  <c r="W27" i="15"/>
  <c r="C46" i="16" s="1"/>
  <c r="F46" i="16" s="1"/>
  <c r="W24" i="15"/>
  <c r="C45" i="16" s="1"/>
  <c r="F45" i="16" s="1"/>
  <c r="W20" i="15"/>
  <c r="C44" i="16" s="1"/>
  <c r="F44" i="16" s="1"/>
  <c r="C9" i="20"/>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s="1"/>
  <c r="Z39" i="15" l="1"/>
  <c r="Z12" i="15"/>
  <c r="D162" i="20" l="1"/>
  <c r="M161" i="6"/>
  <c r="G51" i="5" l="1"/>
  <c r="B137" i="20"/>
  <c r="C137" i="6"/>
  <c r="AM50" i="6" s="1"/>
  <c r="AM51" i="6" s="1"/>
  <c r="P161" i="6"/>
  <c r="N161" i="6"/>
  <c r="Q161" i="6"/>
  <c r="R161" i="6"/>
  <c r="J161" i="6"/>
  <c r="L161" i="6"/>
  <c r="K161" i="6"/>
  <c r="D161" i="6"/>
  <c r="F23" i="5"/>
  <c r="E284" i="5" s="1"/>
  <c r="F284" i="5" s="1"/>
  <c r="C26" i="16"/>
  <c r="H161" i="6"/>
  <c r="G161" i="6"/>
  <c r="I161" i="6"/>
  <c r="O161" i="6"/>
  <c r="D162" i="6"/>
  <c r="B134" i="6" l="1"/>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I161" i="20"/>
  <c r="H161" i="20"/>
  <c r="J161" i="20"/>
  <c r="K161" i="20"/>
  <c r="O161" i="20"/>
  <c r="Q161" i="20"/>
  <c r="L161" i="20"/>
  <c r="P161" i="20"/>
  <c r="M161" i="20"/>
  <c r="G161" i="20"/>
  <c r="D161" i="20"/>
  <c r="N161" i="20"/>
  <c r="R161"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B144" i="20"/>
  <c r="K134" i="6"/>
  <c r="K144" i="6" s="1"/>
  <c r="H134" i="6"/>
  <c r="H144" i="6" s="1"/>
  <c r="R134" i="6"/>
  <c r="R144" i="6" s="1"/>
  <c r="AJ42" i="6"/>
  <c r="AJ38" i="6"/>
  <c r="AJ39" i="6" s="1"/>
  <c r="AM42" i="6"/>
  <c r="AM38" i="6"/>
  <c r="AM39" i="6" s="1"/>
  <c r="S12" i="15" l="1"/>
  <c r="W12" i="15" s="1"/>
  <c r="C42" i="16" s="1"/>
  <c r="F42"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Z38" i="15" l="1"/>
  <c r="Z32" i="15" l="1"/>
  <c r="AE35" i="15" l="1"/>
  <c r="Z35" i="15"/>
  <c r="V35" i="15"/>
  <c r="A34" i="15"/>
  <c r="AD34" i="15" s="1"/>
  <c r="AB34" i="15" l="1"/>
  <c r="U35" i="15"/>
  <c r="W35" i="15" s="1"/>
  <c r="C49" i="16" s="1"/>
  <c r="F49" i="16" s="1"/>
  <c r="F17" i="16" l="1"/>
  <c r="P34" i="15"/>
  <c r="T34" i="15" s="1"/>
  <c r="AE34" i="15"/>
  <c r="Z34" i="15"/>
  <c r="A35" i="15"/>
  <c r="AD35" i="15" s="1"/>
  <c r="A31" i="15" s="1"/>
  <c r="U34" i="15" l="1"/>
  <c r="V34" i="15"/>
  <c r="W34" i="15" l="1"/>
  <c r="C48" i="16" l="1"/>
  <c r="F48"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3" i="16" s="1"/>
  <c r="F53"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5" i="16" s="1"/>
  <c r="F55" i="16" s="1"/>
  <c r="Y47" i="15"/>
  <c r="C54" i="16" s="1"/>
  <c r="F54" i="16" s="1"/>
  <c r="A47" i="15"/>
  <c r="AB55" i="15" l="1"/>
  <c r="Z55" i="15" s="1"/>
  <c r="Q55" i="15" l="1"/>
  <c r="X55" i="15" s="1"/>
  <c r="Y55" i="15" s="1"/>
  <c r="C56" i="16" s="1"/>
  <c r="F56" i="16" s="1"/>
  <c r="AB56" i="15"/>
  <c r="AE55" i="15"/>
  <c r="D104" i="20" l="1"/>
  <c r="J104" i="20" s="1"/>
  <c r="AD6" i="15"/>
  <c r="A6" i="15"/>
  <c r="A54" i="15"/>
  <c r="Z56" i="15"/>
  <c r="C50" i="4" s="1"/>
  <c r="Q56" i="15"/>
  <c r="AE56" i="15"/>
  <c r="D105" i="20" l="1"/>
  <c r="X56" i="15"/>
  <c r="Y56" i="15" s="1"/>
  <c r="Q54" i="15"/>
  <c r="J105" i="20"/>
  <c r="L104" i="20"/>
  <c r="C52" i="4"/>
  <c r="N104" i="20" l="1"/>
  <c r="L105" i="20"/>
  <c r="C57" i="16"/>
  <c r="F57" i="16" s="1"/>
  <c r="Y58" i="15"/>
  <c r="C58" i="16" s="1"/>
  <c r="F58"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N107" i="20" l="1"/>
  <c r="V107" i="20"/>
  <c r="AF107" i="20" l="1"/>
  <c r="D107" i="20"/>
  <c r="L107" i="20"/>
  <c r="AD107" i="20"/>
  <c r="Z107" i="20"/>
  <c r="R107" i="20"/>
  <c r="T107" i="20"/>
  <c r="X107" i="20" l="1"/>
  <c r="AB107" i="20"/>
  <c r="X11" i="20" l="1"/>
  <c r="J107" i="20"/>
  <c r="T11" i="20"/>
  <c r="P107" i="20"/>
  <c r="P39" i="15"/>
  <c r="T39" i="15" s="1"/>
  <c r="U38" i="15" s="1"/>
  <c r="W38" i="15" s="1"/>
  <c r="C51" i="16" s="1"/>
  <c r="F51" i="16" s="1"/>
  <c r="V11" i="20"/>
  <c r="U39" i="15" l="1"/>
  <c r="W39" i="15" s="1"/>
  <c r="C52" i="16" s="1"/>
  <c r="F52" i="16" s="1"/>
  <c r="V39" i="15"/>
  <c r="O7" i="15"/>
  <c r="S14" i="15"/>
  <c r="W14" i="15" s="1"/>
  <c r="C43" i="16" s="1"/>
  <c r="F43" i="16" s="1"/>
  <c r="U32" i="15"/>
  <c r="U31" i="15" s="1"/>
  <c r="R7" i="15" l="1"/>
  <c r="S7" i="15" s="1"/>
  <c r="V7" i="15"/>
  <c r="U36" i="15"/>
  <c r="U6" i="15" s="1"/>
  <c r="W7" i="15" l="1"/>
  <c r="J76" i="18" l="1"/>
  <c r="AA76" i="18" s="1"/>
  <c r="G49" i="5"/>
  <c r="E43" i="5" l="1"/>
  <c r="D179" i="20"/>
  <c r="D185" i="20" s="1"/>
  <c r="D182" i="6"/>
  <c r="D188" i="6" s="1"/>
  <c r="D41" i="15"/>
  <c r="D180" i="20"/>
  <c r="D186" i="20" s="1"/>
  <c r="E67" i="5"/>
  <c r="E278" i="5" s="1"/>
  <c r="D181" i="6"/>
  <c r="D187" i="6" s="1"/>
  <c r="M189" i="20" l="1"/>
  <c r="Q189" i="20"/>
  <c r="I189" i="20"/>
  <c r="R189" i="20"/>
  <c r="N189" i="20"/>
  <c r="L189" i="20"/>
  <c r="P189" i="20"/>
  <c r="G189" i="20"/>
  <c r="K189" i="20"/>
  <c r="H189" i="20"/>
  <c r="D189" i="20"/>
  <c r="J189" i="20"/>
  <c r="O189" i="20"/>
  <c r="K178" i="20"/>
  <c r="R85" i="20" s="1"/>
  <c r="R178" i="20"/>
  <c r="AF85" i="20" s="1"/>
  <c r="J178" i="20"/>
  <c r="P85" i="20" s="1"/>
  <c r="Q178" i="20"/>
  <c r="AD85" i="20" s="1"/>
  <c r="D178" i="20"/>
  <c r="O178" i="20"/>
  <c r="Z85" i="20" s="1"/>
  <c r="M178" i="20"/>
  <c r="V85" i="20" s="1"/>
  <c r="H178" i="20"/>
  <c r="L85" i="20" s="1"/>
  <c r="G178" i="20"/>
  <c r="J85" i="20" s="1"/>
  <c r="I178" i="20"/>
  <c r="N85" i="20" s="1"/>
  <c r="L178" i="20"/>
  <c r="T85" i="20" s="1"/>
  <c r="P178" i="20"/>
  <c r="AB85" i="20" s="1"/>
  <c r="N178" i="20"/>
  <c r="X85" i="20" s="1"/>
  <c r="P190" i="6"/>
  <c r="D190" i="6"/>
  <c r="L190" i="6"/>
  <c r="Q190" i="6"/>
  <c r="N190" i="6"/>
  <c r="M190" i="6"/>
  <c r="K190" i="6"/>
  <c r="O190" i="6"/>
  <c r="R190" i="6"/>
  <c r="I190" i="6"/>
  <c r="G190" i="6"/>
  <c r="J190" i="6"/>
  <c r="H190" i="6"/>
  <c r="D189" i="6"/>
  <c r="O191" i="6"/>
  <c r="I191" i="6"/>
  <c r="M191" i="6"/>
  <c r="Q191" i="6"/>
  <c r="J191" i="6"/>
  <c r="D191" i="6"/>
  <c r="G191" i="6"/>
  <c r="K191" i="6"/>
  <c r="P191" i="6"/>
  <c r="H191" i="6"/>
  <c r="R191" i="6"/>
  <c r="L191" i="6"/>
  <c r="N191" i="6"/>
  <c r="F278" i="5"/>
  <c r="E288" i="5"/>
  <c r="G188" i="20"/>
  <c r="M188" i="20"/>
  <c r="L188" i="20"/>
  <c r="O188" i="20"/>
  <c r="K188" i="20"/>
  <c r="Q188" i="20"/>
  <c r="D188" i="20"/>
  <c r="P188" i="20"/>
  <c r="I188" i="20"/>
  <c r="H188" i="20"/>
  <c r="R188" i="20"/>
  <c r="N188" i="20"/>
  <c r="J188" i="20"/>
  <c r="D187" i="20"/>
  <c r="F151" i="20" l="1"/>
  <c r="D34" i="10" s="1"/>
  <c r="O73" i="15"/>
  <c r="J192" i="6"/>
  <c r="R62" i="6" s="1"/>
  <c r="Q192" i="6"/>
  <c r="AM62" i="6" s="1"/>
  <c r="R192" i="6"/>
  <c r="AP62" i="6" s="1"/>
  <c r="D192" i="6"/>
  <c r="C62" i="6" s="1"/>
  <c r="K192" i="6"/>
  <c r="U62" i="6" s="1"/>
  <c r="M192" i="6"/>
  <c r="AA62" i="6" s="1"/>
  <c r="O192" i="6"/>
  <c r="AG62" i="6" s="1"/>
  <c r="G192" i="6"/>
  <c r="I62" i="6" s="1"/>
  <c r="N192" i="6"/>
  <c r="AD62" i="6" s="1"/>
  <c r="P192" i="6"/>
  <c r="AJ62" i="6" s="1"/>
  <c r="L192" i="6"/>
  <c r="X62" i="6" s="1"/>
  <c r="I192" i="6"/>
  <c r="O62" i="6" s="1"/>
  <c r="F151" i="6"/>
  <c r="C34" i="10" s="1"/>
  <c r="H192" i="6"/>
  <c r="L62" i="6" s="1"/>
  <c r="T86" i="20"/>
  <c r="T87" i="20" s="1"/>
  <c r="T15" i="20"/>
  <c r="T16" i="20" s="1"/>
  <c r="T17" i="20" s="1"/>
  <c r="V86" i="20"/>
  <c r="V87" i="20" s="1"/>
  <c r="V15" i="20"/>
  <c r="V16" i="20" s="1"/>
  <c r="V17" i="20" s="1"/>
  <c r="P86" i="20"/>
  <c r="P87" i="20" s="1"/>
  <c r="P15" i="20"/>
  <c r="P16" i="20" s="1"/>
  <c r="P17" i="20" s="1"/>
  <c r="B289" i="5"/>
  <c r="G86" i="15"/>
  <c r="B291" i="5"/>
  <c r="C49" i="4"/>
  <c r="N86" i="20"/>
  <c r="N87" i="20" s="1"/>
  <c r="N15" i="20"/>
  <c r="N16" i="20" s="1"/>
  <c r="N17" i="20" s="1"/>
  <c r="Z86" i="20"/>
  <c r="Z87" i="20" s="1"/>
  <c r="Z15" i="20"/>
  <c r="Z16" i="20" s="1"/>
  <c r="Z17" i="20" s="1"/>
  <c r="AF86" i="20"/>
  <c r="AF87" i="20" s="1"/>
  <c r="AF15" i="20"/>
  <c r="AF16" i="20" s="1"/>
  <c r="AF17" i="20" s="1"/>
  <c r="D35" i="10"/>
  <c r="C52" i="17"/>
  <c r="D52" i="17" s="1"/>
  <c r="C53" i="17"/>
  <c r="D53" i="17" s="1"/>
  <c r="X86" i="20"/>
  <c r="X87" i="20" s="1"/>
  <c r="X15" i="20"/>
  <c r="X16" i="20" s="1"/>
  <c r="X17" i="20" s="1"/>
  <c r="J86" i="20"/>
  <c r="J87" i="20" s="1"/>
  <c r="J15" i="20"/>
  <c r="J16" i="20" s="1"/>
  <c r="J1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V73" i="15" l="1"/>
  <c r="W73" i="15" s="1"/>
  <c r="C61" i="16" s="1"/>
  <c r="F61" i="16" s="1"/>
  <c r="R73" i="15"/>
  <c r="S73" i="15" s="1"/>
  <c r="O71" i="15"/>
  <c r="D93" i="20"/>
  <c r="D15" i="20"/>
  <c r="D86" i="20"/>
  <c r="F50" i="10"/>
  <c r="L49" i="10"/>
  <c r="C50" i="10"/>
  <c r="N49" i="10"/>
  <c r="O49" i="10"/>
  <c r="G49" i="10"/>
  <c r="K49" i="10"/>
  <c r="I49" i="10"/>
  <c r="D36" i="10"/>
  <c r="E50" i="10"/>
  <c r="P49" i="10"/>
  <c r="M49" i="10"/>
  <c r="H49" i="10"/>
  <c r="J49" i="10"/>
  <c r="O63" i="6"/>
  <c r="O65" i="6"/>
  <c r="I63" i="6"/>
  <c r="I65" i="6"/>
  <c r="C63" i="6"/>
  <c r="B80" i="6"/>
  <c r="C65" i="6"/>
  <c r="X63" i="6"/>
  <c r="X65" i="6"/>
  <c r="X35" i="6" s="1"/>
  <c r="Y62" i="6" s="1"/>
  <c r="AG63" i="6"/>
  <c r="AG65" i="6"/>
  <c r="AG35" i="6" s="1"/>
  <c r="AI62" i="6" s="1"/>
  <c r="AI63" i="6" s="1"/>
  <c r="AP63" i="6"/>
  <c r="AP65" i="6"/>
  <c r="AP35" i="6" s="1"/>
  <c r="L63" i="6"/>
  <c r="L65" i="6"/>
  <c r="L35" i="6" s="1"/>
  <c r="M62" i="6" s="1"/>
  <c r="AJ63" i="6"/>
  <c r="AJ65" i="6"/>
  <c r="AJ35" i="6" s="1"/>
  <c r="AA63" i="6"/>
  <c r="AA65" i="6"/>
  <c r="AA35" i="6" s="1"/>
  <c r="AC62" i="6" s="1"/>
  <c r="AC63" i="6" s="1"/>
  <c r="AM63" i="6"/>
  <c r="AM65" i="6"/>
  <c r="C51" i="4"/>
  <c r="C53" i="4"/>
  <c r="C35" i="10"/>
  <c r="G33" i="10"/>
  <c r="AD63" i="6"/>
  <c r="AD65" i="6"/>
  <c r="AD35" i="6" s="1"/>
  <c r="U63" i="6"/>
  <c r="U65" i="6"/>
  <c r="U35" i="6" s="1"/>
  <c r="R63" i="6"/>
  <c r="R65" i="6"/>
  <c r="R35" i="6" s="1"/>
  <c r="V71" i="15" l="1"/>
  <c r="R71" i="15"/>
  <c r="S71" i="15" s="1"/>
  <c r="W71" i="15" s="1"/>
  <c r="D94" i="20"/>
  <c r="D87" i="20"/>
  <c r="D21" i="16"/>
  <c r="E21" i="16"/>
  <c r="V68" i="6"/>
  <c r="V38" i="6"/>
  <c r="U12" i="6"/>
  <c r="W68" i="6"/>
  <c r="W69" i="6" s="1"/>
  <c r="W73" i="6"/>
  <c r="W75" i="6" s="1"/>
  <c r="I40" i="10"/>
  <c r="I46" i="10" s="1"/>
  <c r="V73" i="6"/>
  <c r="V75" i="6" s="1"/>
  <c r="W38" i="6"/>
  <c r="V62" i="6"/>
  <c r="W62" i="6"/>
  <c r="W63" i="6" s="1"/>
  <c r="S68" i="6"/>
  <c r="R70" i="6"/>
  <c r="T68" i="6"/>
  <c r="R36" i="6"/>
  <c r="R12" i="6"/>
  <c r="T73" i="6"/>
  <c r="T75" i="6" s="1"/>
  <c r="S73" i="6"/>
  <c r="S75" i="6" s="1"/>
  <c r="H40" i="10"/>
  <c r="H46" i="10" s="1"/>
  <c r="T38" i="6"/>
  <c r="S38" i="6"/>
  <c r="T62" i="6"/>
  <c r="T63" i="6" s="1"/>
  <c r="S62" i="6"/>
  <c r="AQ68" i="6"/>
  <c r="AP12" i="6"/>
  <c r="AP36" i="6"/>
  <c r="P40" i="10"/>
  <c r="P46" i="10" s="1"/>
  <c r="AQ73" i="6"/>
  <c r="AQ75" i="6" s="1"/>
  <c r="AR38" i="6"/>
  <c r="AR68" i="6"/>
  <c r="AR69" i="6" s="1"/>
  <c r="AR73" i="6"/>
  <c r="AR75" i="6" s="1"/>
  <c r="AQ38" i="6"/>
  <c r="AQ62" i="6"/>
  <c r="AR62" i="6"/>
  <c r="AR63" i="6" s="1"/>
  <c r="M63" i="6"/>
  <c r="K62" i="20"/>
  <c r="L62" i="20" s="1"/>
  <c r="S62" i="20"/>
  <c r="T62" i="20" s="1"/>
  <c r="Y63" i="6"/>
  <c r="AE68" i="6"/>
  <c r="AD12" i="6"/>
  <c r="AF41" i="6"/>
  <c r="AF42" i="6" s="1"/>
  <c r="L40" i="10"/>
  <c r="L46" i="10" s="1"/>
  <c r="AF47" i="6"/>
  <c r="AF48" i="6" s="1"/>
  <c r="AF44" i="6"/>
  <c r="AF45" i="6" s="1"/>
  <c r="AF73" i="6"/>
  <c r="AF75" i="6" s="1"/>
  <c r="AF38" i="6"/>
  <c r="AF39" i="6" s="1"/>
  <c r="AE73" i="6"/>
  <c r="AE75" i="6" s="1"/>
  <c r="AF59" i="6"/>
  <c r="AF60" i="6" s="1"/>
  <c r="AF56" i="6"/>
  <c r="AF57" i="6" s="1"/>
  <c r="AE38" i="6"/>
  <c r="AF53" i="6"/>
  <c r="AF54" i="6" s="1"/>
  <c r="AF50" i="6"/>
  <c r="AF51" i="6" s="1"/>
  <c r="AF68" i="6"/>
  <c r="AF69" i="6" s="1"/>
  <c r="AF62" i="6"/>
  <c r="AF63" i="6" s="1"/>
  <c r="AE62" i="6"/>
  <c r="AK68" i="6"/>
  <c r="AJ12" i="6"/>
  <c r="AK38" i="6"/>
  <c r="AL38" i="6"/>
  <c r="AJ36" i="6"/>
  <c r="AL73" i="6"/>
  <c r="AL75" i="6" s="1"/>
  <c r="N40" i="10"/>
  <c r="N46" i="10" s="1"/>
  <c r="AK73" i="6"/>
  <c r="AK75" i="6" s="1"/>
  <c r="AL68" i="6"/>
  <c r="AL69" i="6" s="1"/>
  <c r="AL62" i="6"/>
  <c r="AL63" i="6" s="1"/>
  <c r="AK62" i="6"/>
  <c r="B81" i="15"/>
  <c r="AM66" i="6"/>
  <c r="N62" i="6"/>
  <c r="N63" i="6" s="1"/>
  <c r="AH62" i="6"/>
  <c r="C80" i="6"/>
  <c r="C66" i="6"/>
  <c r="I66" i="6"/>
  <c r="O66" i="6"/>
  <c r="V65" i="6"/>
  <c r="U66" i="6"/>
  <c r="W65" i="6"/>
  <c r="W66" i="6" s="1"/>
  <c r="B80" i="15"/>
  <c r="F86" i="15"/>
  <c r="F87" i="15" s="1"/>
  <c r="AA66" i="6"/>
  <c r="AB65" i="6"/>
  <c r="AC65" i="6"/>
  <c r="AC66" i="6" s="1"/>
  <c r="X66" i="6"/>
  <c r="Y65" i="6"/>
  <c r="Z65" i="6"/>
  <c r="Z66" i="6" s="1"/>
  <c r="I35" i="6"/>
  <c r="J65" i="6" s="1"/>
  <c r="AD66" i="6"/>
  <c r="AE65" i="6"/>
  <c r="AF65" i="6"/>
  <c r="AF66" i="6" s="1"/>
  <c r="AB68" i="6"/>
  <c r="AB73" i="6"/>
  <c r="AB75" i="6" s="1"/>
  <c r="AB38" i="6"/>
  <c r="AC68" i="6"/>
  <c r="AC69" i="6" s="1"/>
  <c r="AA12" i="6"/>
  <c r="AC38" i="6"/>
  <c r="K40" i="10"/>
  <c r="K46" i="10" s="1"/>
  <c r="AC73" i="6"/>
  <c r="AC75" i="6" s="1"/>
  <c r="AJ66" i="6"/>
  <c r="AK65" i="6"/>
  <c r="AL65" i="6"/>
  <c r="AL66" i="6" s="1"/>
  <c r="L70" i="6"/>
  <c r="M68" i="6"/>
  <c r="L12" i="6"/>
  <c r="N68" i="6"/>
  <c r="L36" i="6"/>
  <c r="M73" i="6"/>
  <c r="M75" i="6" s="1"/>
  <c r="N59" i="6"/>
  <c r="N60" i="6" s="1"/>
  <c r="N73" i="6"/>
  <c r="N75" i="6" s="1"/>
  <c r="M38" i="6"/>
  <c r="N38" i="6"/>
  <c r="F41" i="10"/>
  <c r="F47" i="10"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P48" i="10"/>
  <c r="L48" i="10"/>
  <c r="O48" i="10"/>
  <c r="H48" i="10"/>
  <c r="K48" i="10"/>
  <c r="E49" i="10"/>
  <c r="C49" i="10"/>
  <c r="M48" i="10"/>
  <c r="J48" i="10"/>
  <c r="F49" i="10"/>
  <c r="I48" i="10"/>
  <c r="A35" i="10"/>
  <c r="N48" i="10"/>
  <c r="G48" i="10"/>
  <c r="C36" i="10"/>
  <c r="AM35" i="6"/>
  <c r="AO65" i="6" s="1"/>
  <c r="AO66" i="6" s="1"/>
  <c r="AB62" i="6"/>
  <c r="L66" i="6"/>
  <c r="M65" i="6"/>
  <c r="N65" i="6"/>
  <c r="N66" i="6" s="1"/>
  <c r="AG66" i="6"/>
  <c r="AH65" i="6"/>
  <c r="AI65" i="6"/>
  <c r="AI66" i="6" s="1"/>
  <c r="Z62" i="6"/>
  <c r="Z63" i="6" s="1"/>
  <c r="C35" i="6"/>
  <c r="F88" i="15" l="1"/>
  <c r="Q63" i="6"/>
  <c r="AH51" i="6"/>
  <c r="Y50" i="20"/>
  <c r="AH66" i="6"/>
  <c r="Y65" i="20"/>
  <c r="AH69" i="6"/>
  <c r="Y68" i="20"/>
  <c r="L13" i="6"/>
  <c r="L9" i="6"/>
  <c r="L6" i="6"/>
  <c r="L14" i="6" s="1"/>
  <c r="AK66" i="6"/>
  <c r="AA65" i="20"/>
  <c r="AC47" i="6"/>
  <c r="AC48" i="6" s="1"/>
  <c r="AC39" i="6"/>
  <c r="AC59" i="6"/>
  <c r="AC60" i="6" s="1"/>
  <c r="AC53" i="6"/>
  <c r="AC54" i="6" s="1"/>
  <c r="AC44" i="6"/>
  <c r="AC45" i="6" s="1"/>
  <c r="AC56" i="6"/>
  <c r="AC57" i="6" s="1"/>
  <c r="AC50" i="6"/>
  <c r="AC51" i="6" s="1"/>
  <c r="AC41" i="6"/>
  <c r="AC42" i="6" s="1"/>
  <c r="U65" i="20"/>
  <c r="AB66" i="6"/>
  <c r="P65" i="6"/>
  <c r="M65" i="20" s="1"/>
  <c r="J66" i="6"/>
  <c r="I65" i="20"/>
  <c r="AJ13" i="6"/>
  <c r="AJ6" i="6"/>
  <c r="AJ14" i="6" s="1"/>
  <c r="AJ9" i="6"/>
  <c r="T63" i="20"/>
  <c r="T64" i="20"/>
  <c r="AE62" i="20"/>
  <c r="AF62" i="20" s="1"/>
  <c r="AQ63" i="6"/>
  <c r="AR56" i="6"/>
  <c r="AR57" i="6" s="1"/>
  <c r="AR47" i="6"/>
  <c r="AR48" i="6" s="1"/>
  <c r="AR41" i="6"/>
  <c r="AR42" i="6" s="1"/>
  <c r="AR50" i="6"/>
  <c r="AR51" i="6" s="1"/>
  <c r="AR39" i="6"/>
  <c r="AR59" i="6"/>
  <c r="AR60" i="6" s="1"/>
  <c r="AR44" i="6"/>
  <c r="AR45" i="6" s="1"/>
  <c r="AR53" i="6"/>
  <c r="AR54" i="6" s="1"/>
  <c r="AP13" i="6"/>
  <c r="AP6" i="6"/>
  <c r="AP9" i="6"/>
  <c r="S56" i="6"/>
  <c r="O38" i="20"/>
  <c r="S39" i="6"/>
  <c r="S59" i="6"/>
  <c r="S50" i="6"/>
  <c r="S47" i="6"/>
  <c r="S44" i="6"/>
  <c r="S41" i="6"/>
  <c r="S53" i="6"/>
  <c r="W39" i="6"/>
  <c r="W59" i="6"/>
  <c r="W60" i="6" s="1"/>
  <c r="W41" i="6"/>
  <c r="W42" i="6" s="1"/>
  <c r="W44" i="6"/>
  <c r="W45" i="6" s="1"/>
  <c r="W50" i="6"/>
  <c r="W51" i="6" s="1"/>
  <c r="W56" i="6"/>
  <c r="W57" i="6" s="1"/>
  <c r="W47" i="6"/>
  <c r="W48" i="6" s="1"/>
  <c r="W53" i="6"/>
  <c r="W54" i="6" s="1"/>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N39" i="6"/>
  <c r="N56" i="6"/>
  <c r="N57" i="6" s="1"/>
  <c r="N47" i="6"/>
  <c r="N48" i="6" s="1"/>
  <c r="N41" i="6"/>
  <c r="N42" i="6" s="1"/>
  <c r="N44" i="6"/>
  <c r="N45" i="6" s="1"/>
  <c r="N50" i="6"/>
  <c r="N51" i="6" s="1"/>
  <c r="N53" i="6"/>
  <c r="N54" i="6" s="1"/>
  <c r="M70" i="6"/>
  <c r="M69" i="6"/>
  <c r="K68" i="20"/>
  <c r="AA13" i="6"/>
  <c r="AA9" i="6"/>
  <c r="AA6" i="6"/>
  <c r="AA14" i="6" s="1"/>
  <c r="U68" i="20"/>
  <c r="AB69" i="6"/>
  <c r="P63" i="6"/>
  <c r="Y66" i="6"/>
  <c r="S65" i="20"/>
  <c r="Q66" i="6"/>
  <c r="P66" i="6"/>
  <c r="AN65" i="6"/>
  <c r="AL74" i="6"/>
  <c r="AK74" i="6"/>
  <c r="AA68" i="20"/>
  <c r="AK69" i="6"/>
  <c r="AD13" i="6"/>
  <c r="AD9" i="6"/>
  <c r="AD6" i="6"/>
  <c r="AD14" i="6" s="1"/>
  <c r="L63" i="20"/>
  <c r="L64" i="20"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U13" i="6"/>
  <c r="U9" i="6"/>
  <c r="U6" i="6"/>
  <c r="U14" i="6" s="1"/>
  <c r="E65" i="6"/>
  <c r="Y62" i="20"/>
  <c r="Z62" i="20" s="1"/>
  <c r="AH63" i="6"/>
  <c r="AL39" i="6"/>
  <c r="AL44" i="6"/>
  <c r="AL45" i="6" s="1"/>
  <c r="AL56" i="6"/>
  <c r="AL57" i="6" s="1"/>
  <c r="AL59" i="6"/>
  <c r="AL60" i="6" s="1"/>
  <c r="AL47" i="6"/>
  <c r="AL48" i="6" s="1"/>
  <c r="AL50" i="6"/>
  <c r="AL51" i="6" s="1"/>
  <c r="AL41" i="6"/>
  <c r="AL42" i="6" s="1"/>
  <c r="AL53" i="6"/>
  <c r="AL54" i="6" s="1"/>
  <c r="AE63" i="6"/>
  <c r="W62" i="20"/>
  <c r="X62" i="20" s="1"/>
  <c r="W68" i="20"/>
  <c r="AE69" i="6"/>
  <c r="S63" i="6"/>
  <c r="O62" i="20"/>
  <c r="P62" i="20" s="1"/>
  <c r="T74" i="6"/>
  <c r="S74" i="6"/>
  <c r="V56" i="6"/>
  <c r="V39" i="6"/>
  <c r="V59" i="6"/>
  <c r="V41" i="6"/>
  <c r="Q38" i="20"/>
  <c r="V50" i="6"/>
  <c r="V47" i="6"/>
  <c r="V44" i="6"/>
  <c r="V53" i="6"/>
  <c r="M39" i="6"/>
  <c r="M56" i="6"/>
  <c r="M50" i="6"/>
  <c r="M41" i="6"/>
  <c r="M59" i="6"/>
  <c r="M44" i="6"/>
  <c r="K38" i="20"/>
  <c r="M47" i="6"/>
  <c r="M53" i="6"/>
  <c r="M66"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N69" i="6"/>
  <c r="N70" i="6"/>
  <c r="AB39" i="6"/>
  <c r="AB56" i="6"/>
  <c r="AB50" i="6"/>
  <c r="AB47" i="6"/>
  <c r="AB59" i="6"/>
  <c r="AB44" i="6"/>
  <c r="AB41" i="6"/>
  <c r="U38" i="20"/>
  <c r="AB53" i="6"/>
  <c r="AE66" i="6"/>
  <c r="W65" i="20"/>
  <c r="I70" i="6"/>
  <c r="J68" i="6"/>
  <c r="I12" i="6"/>
  <c r="K56" i="6"/>
  <c r="K57" i="6" s="1"/>
  <c r="I36" i="6"/>
  <c r="J73" i="6"/>
  <c r="J75" i="6" s="1"/>
  <c r="K68" i="6"/>
  <c r="J38" i="6"/>
  <c r="E41" i="10"/>
  <c r="E47" i="10" s="1"/>
  <c r="K38" i="6"/>
  <c r="K73" i="6"/>
  <c r="K75" i="6" s="1"/>
  <c r="J62" i="6"/>
  <c r="K62" i="6"/>
  <c r="K63" i="6" s="1"/>
  <c r="D5" i="16"/>
  <c r="C28" i="16"/>
  <c r="Q65" i="20"/>
  <c r="V66" i="6"/>
  <c r="K65" i="6"/>
  <c r="K66" i="6" s="1"/>
  <c r="D65" i="6"/>
  <c r="AK63" i="6"/>
  <c r="AA62" i="20"/>
  <c r="AB62" i="20" s="1"/>
  <c r="AK39" i="6"/>
  <c r="AK56" i="6"/>
  <c r="AK59" i="6"/>
  <c r="AK41" i="6"/>
  <c r="AK44" i="6"/>
  <c r="AK50" i="6"/>
  <c r="AA38" i="20"/>
  <c r="AK47" i="6"/>
  <c r="AK53" i="6"/>
  <c r="AE39" i="6"/>
  <c r="AE59" i="6"/>
  <c r="AE50" i="6"/>
  <c r="AE56" i="6"/>
  <c r="AE44" i="6"/>
  <c r="AE47" i="6"/>
  <c r="AE41" i="6"/>
  <c r="W38" i="20"/>
  <c r="AE53" i="6"/>
  <c r="AQ74" i="6"/>
  <c r="AR74" i="6"/>
  <c r="T70" i="6"/>
  <c r="T69" i="6"/>
  <c r="V63" i="6"/>
  <c r="Q62" i="20"/>
  <c r="R62" i="20" s="1"/>
  <c r="V69" i="6"/>
  <c r="Q68" i="20"/>
  <c r="AE54" i="6" l="1"/>
  <c r="W53" i="20"/>
  <c r="D66" i="6"/>
  <c r="C65" i="20"/>
  <c r="C29" i="16"/>
  <c r="C30" i="16"/>
  <c r="K69" i="6"/>
  <c r="K70" i="6"/>
  <c r="I6" i="6"/>
  <c r="I9" i="6"/>
  <c r="I13" i="6"/>
  <c r="U44" i="20"/>
  <c r="V44" i="20" s="1"/>
  <c r="AB45" i="6"/>
  <c r="U56" i="20"/>
  <c r="AB57" i="6"/>
  <c r="AH42" i="6"/>
  <c r="Y41" i="20"/>
  <c r="Z41" i="20" s="1"/>
  <c r="X10" i="6"/>
  <c r="X11" i="6"/>
  <c r="N63" i="20"/>
  <c r="N64" i="20" s="1"/>
  <c r="Q69" i="6"/>
  <c r="Q70" i="6"/>
  <c r="M45" i="6"/>
  <c r="K44" i="20"/>
  <c r="L44" i="20" s="1"/>
  <c r="K56" i="20"/>
  <c r="M57" i="6"/>
  <c r="V48" i="6"/>
  <c r="Q47" i="20"/>
  <c r="R47" i="20" s="1"/>
  <c r="V60" i="6"/>
  <c r="Q59" i="20"/>
  <c r="X68" i="20"/>
  <c r="X69" i="20" s="1"/>
  <c r="X70" i="20"/>
  <c r="Z63" i="20"/>
  <c r="Z64" i="20" s="1"/>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R68" i="20"/>
  <c r="R69" i="20" s="1"/>
  <c r="R70" i="20" s="1"/>
  <c r="AK51" i="6"/>
  <c r="AA50" i="20"/>
  <c r="X40" i="20"/>
  <c r="W56" i="20"/>
  <c r="AE57" i="6"/>
  <c r="AK54" i="6"/>
  <c r="AA53" i="20"/>
  <c r="AK45" i="6"/>
  <c r="AA44" i="20"/>
  <c r="AB44" i="20" s="1"/>
  <c r="K44" i="6"/>
  <c r="K45" i="6" s="1"/>
  <c r="K39" i="6"/>
  <c r="K59" i="6"/>
  <c r="K60" i="6" s="1"/>
  <c r="K41" i="6"/>
  <c r="K42" i="6" s="1"/>
  <c r="K50" i="6"/>
  <c r="K51" i="6" s="1"/>
  <c r="K53" i="6"/>
  <c r="K54" i="6" s="1"/>
  <c r="K47" i="6"/>
  <c r="K48" i="6" s="1"/>
  <c r="J70" i="6"/>
  <c r="J69" i="6"/>
  <c r="I68" i="20"/>
  <c r="AB54" i="6"/>
  <c r="U53" i="20"/>
  <c r="AB60" i="6"/>
  <c r="U59" i="20"/>
  <c r="T70" i="20"/>
  <c r="T68" i="20"/>
  <c r="T69" i="20" s="1"/>
  <c r="P56" i="6"/>
  <c r="M56" i="20" s="1"/>
  <c r="P39" i="6"/>
  <c r="P41" i="6"/>
  <c r="P59" i="6"/>
  <c r="M38" i="20"/>
  <c r="P47" i="6"/>
  <c r="M47" i="20" s="1"/>
  <c r="N47" i="20" s="1"/>
  <c r="P50" i="6"/>
  <c r="M50" i="20" s="1"/>
  <c r="P44" i="6"/>
  <c r="M44" i="20" s="1"/>
  <c r="N44" i="20" s="1"/>
  <c r="P53" i="6"/>
  <c r="M53" i="20" s="1"/>
  <c r="M68" i="20"/>
  <c r="P69" i="6"/>
  <c r="P70" i="6"/>
  <c r="M54" i="6"/>
  <c r="K53" i="20"/>
  <c r="M60" i="6"/>
  <c r="K59" i="20"/>
  <c r="V51" i="6"/>
  <c r="Q50" i="20"/>
  <c r="P63" i="20"/>
  <c r="P64" i="20" s="1"/>
  <c r="X63" i="20"/>
  <c r="X64" i="20"/>
  <c r="E67" i="6"/>
  <c r="E66" i="6"/>
  <c r="R17" i="6"/>
  <c r="R8" i="6"/>
  <c r="R7" i="6"/>
  <c r="T20" i="6"/>
  <c r="S20" i="6"/>
  <c r="AF68" i="20"/>
  <c r="AF69" i="20" s="1"/>
  <c r="AF70" i="20" s="1"/>
  <c r="AQ54" i="6"/>
  <c r="AE53" i="20"/>
  <c r="AQ42" i="6"/>
  <c r="AE41" i="20"/>
  <c r="AF41" i="20" s="1"/>
  <c r="T67" i="20"/>
  <c r="V68" i="20"/>
  <c r="V69" i="20" s="1"/>
  <c r="V70" i="20"/>
  <c r="Z48" i="20"/>
  <c r="Z49" i="20" s="1"/>
  <c r="T40" i="20"/>
  <c r="Y57" i="6"/>
  <c r="S56" i="20"/>
  <c r="D63" i="6"/>
  <c r="C62" i="20"/>
  <c r="E4" i="15"/>
  <c r="B27" i="6"/>
  <c r="C4" i="15"/>
  <c r="C6" i="6"/>
  <c r="C9" i="6"/>
  <c r="C13" i="6"/>
  <c r="O32" i="15" s="1"/>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J17" i="6"/>
  <c r="AJ8" i="6"/>
  <c r="AJ7" i="6"/>
  <c r="AL20" i="6"/>
  <c r="AK20" i="6"/>
  <c r="W47" i="20"/>
  <c r="X47" i="20" s="1"/>
  <c r="AE48" i="6"/>
  <c r="AE45" i="6"/>
  <c r="W44" i="20"/>
  <c r="X44" i="20" s="1"/>
  <c r="AK57" i="6"/>
  <c r="AA56" i="20"/>
  <c r="R63" i="20"/>
  <c r="R64" i="20" s="1"/>
  <c r="W41" i="20"/>
  <c r="X41" i="20" s="1"/>
  <c r="AE42" i="6"/>
  <c r="AE51" i="6"/>
  <c r="W50" i="20"/>
  <c r="AK48" i="6"/>
  <c r="AA47" i="20"/>
  <c r="AB47" i="20" s="1"/>
  <c r="AK42" i="6"/>
  <c r="AA41" i="20"/>
  <c r="AB41" i="20" s="1"/>
  <c r="AB63" i="20"/>
  <c r="AB64" i="20" s="1"/>
  <c r="K74" i="6"/>
  <c r="J74" i="6"/>
  <c r="V40" i="20"/>
  <c r="AB48" i="6"/>
  <c r="U47" i="20"/>
  <c r="V47" i="20" s="1"/>
  <c r="AG11" i="6"/>
  <c r="AG10" i="6"/>
  <c r="AH54" i="6"/>
  <c r="Y53" i="20"/>
  <c r="AH45" i="6"/>
  <c r="Y44" i="20"/>
  <c r="Z44" i="20" s="1"/>
  <c r="P74" i="6"/>
  <c r="Q74" i="6"/>
  <c r="M48" i="6"/>
  <c r="K47" i="20"/>
  <c r="L47" i="20" s="1"/>
  <c r="K41" i="20"/>
  <c r="L41" i="20" s="1"/>
  <c r="M42" i="6"/>
  <c r="V54" i="6"/>
  <c r="Q53" i="20"/>
  <c r="V57" i="6"/>
  <c r="Q56" i="20"/>
  <c r="U7" i="6"/>
  <c r="U17" i="6"/>
  <c r="W20" i="6"/>
  <c r="U8" i="6"/>
  <c r="V20" i="6"/>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M20" i="6"/>
  <c r="N20" i="6"/>
  <c r="L17" i="6"/>
  <c r="L8" i="6"/>
  <c r="L7" i="6"/>
  <c r="Z70" i="20"/>
  <c r="Z68" i="20"/>
  <c r="Z69" i="20" s="1"/>
  <c r="Z50" i="20"/>
  <c r="Z51" i="20" s="1"/>
  <c r="Z52" i="20"/>
  <c r="W59" i="20"/>
  <c r="AE60" i="6"/>
  <c r="AK60" i="6"/>
  <c r="AA59" i="20"/>
  <c r="J63" i="6"/>
  <c r="I62" i="20"/>
  <c r="J62" i="20" s="1"/>
  <c r="J56" i="6"/>
  <c r="J39" i="6"/>
  <c r="J59" i="6"/>
  <c r="I38" i="20"/>
  <c r="J41" i="6"/>
  <c r="J47" i="6"/>
  <c r="J44" i="6"/>
  <c r="J50" i="6"/>
  <c r="J53" i="6"/>
  <c r="X67" i="20"/>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M51" i="6"/>
  <c r="K50" i="20"/>
  <c r="Q44" i="20"/>
  <c r="R44" i="20" s="1"/>
  <c r="V45" i="6"/>
  <c r="Q41" i="20"/>
  <c r="R41" i="20" s="1"/>
  <c r="V42" i="6"/>
  <c r="U11" i="6"/>
  <c r="U10"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AJ11" i="6"/>
  <c r="V67" i="20"/>
  <c r="L10" i="6"/>
  <c r="L11" i="6"/>
  <c r="V32" i="15" l="1"/>
  <c r="R32" i="15"/>
  <c r="E37" i="6"/>
  <c r="P42" i="20"/>
  <c r="P43" i="20" s="1"/>
  <c r="P59" i="20"/>
  <c r="P60" i="20" s="1"/>
  <c r="P61" i="20" s="1"/>
  <c r="T59" i="20"/>
  <c r="T60" i="20" s="1"/>
  <c r="T61" i="20"/>
  <c r="R42" i="20"/>
  <c r="R43" i="20" s="1"/>
  <c r="Z59" i="20"/>
  <c r="Z60" i="20" s="1"/>
  <c r="Z61" i="20" s="1"/>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3" i="20"/>
  <c r="Z54" i="20" s="1"/>
  <c r="Z55" i="20" s="1"/>
  <c r="V48" i="20"/>
  <c r="V49" i="20"/>
  <c r="AB42" i="20"/>
  <c r="AB43" i="20" s="1"/>
  <c r="X50" i="20"/>
  <c r="X52" i="20"/>
  <c r="X45" i="20"/>
  <c r="X46" i="20"/>
  <c r="D47" i="20"/>
  <c r="D48" i="20" s="1"/>
  <c r="D49" i="20" s="1"/>
  <c r="D57" i="6"/>
  <c r="C56" i="20"/>
  <c r="F13" i="6"/>
  <c r="F15" i="6"/>
  <c r="C290" i="5" s="1"/>
  <c r="C291" i="5" s="1"/>
  <c r="AF42" i="20"/>
  <c r="AF43" i="20" s="1"/>
  <c r="T21" i="6"/>
  <c r="T22" i="6"/>
  <c r="L59" i="20"/>
  <c r="L60" i="20" s="1"/>
  <c r="L61" i="20" s="1"/>
  <c r="N68" i="20"/>
  <c r="N69" i="20" s="1"/>
  <c r="N70" i="20" s="1"/>
  <c r="N48" i="20"/>
  <c r="N49" i="20" s="1"/>
  <c r="X58" i="20"/>
  <c r="X56" i="20"/>
  <c r="X57" i="20" s="1"/>
  <c r="R59" i="20"/>
  <c r="R60" i="20" s="1"/>
  <c r="R61" i="20" s="1"/>
  <c r="T48" i="20"/>
  <c r="T49" i="20"/>
  <c r="AF50" i="20"/>
  <c r="AF51" i="20" s="1"/>
  <c r="AF52" i="20"/>
  <c r="P20" i="6"/>
  <c r="O7" i="6"/>
  <c r="O17" i="6"/>
  <c r="O8" i="6"/>
  <c r="Q20" i="6"/>
  <c r="Z21" i="6"/>
  <c r="Z22" i="6"/>
  <c r="V42" i="20"/>
  <c r="V43" i="20"/>
  <c r="J54" i="6"/>
  <c r="I53" i="20"/>
  <c r="J42" i="6"/>
  <c r="I41" i="20"/>
  <c r="J41" i="20" s="1"/>
  <c r="J57" i="6"/>
  <c r="I56" i="20"/>
  <c r="N21" i="6"/>
  <c r="N22" i="6"/>
  <c r="AN51" i="6"/>
  <c r="AC50" i="20"/>
  <c r="D68" i="20"/>
  <c r="D80" i="20" s="1"/>
  <c r="V21" i="6"/>
  <c r="V22" i="6"/>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c r="T45" i="20"/>
  <c r="T46" i="20"/>
  <c r="AF48" i="20"/>
  <c r="AF49" i="20" s="1"/>
  <c r="L56" i="20"/>
  <c r="L57" i="20" s="1"/>
  <c r="L58" i="20" s="1"/>
  <c r="V56" i="20"/>
  <c r="V57" i="20" s="1"/>
  <c r="V58" i="20"/>
  <c r="I11" i="6"/>
  <c r="I10" i="6"/>
  <c r="AF56" i="20"/>
  <c r="AF57" i="20" s="1"/>
  <c r="AF58" i="20" s="1"/>
  <c r="R45" i="20"/>
  <c r="R46" i="20" s="1"/>
  <c r="O11" i="6"/>
  <c r="O10" i="6"/>
  <c r="Y22" i="6"/>
  <c r="Y21" i="6"/>
  <c r="AH22" i="6"/>
  <c r="AH21" i="6"/>
  <c r="J51" i="6"/>
  <c r="I50" i="20"/>
  <c r="J63" i="20"/>
  <c r="J64" i="20" s="1"/>
  <c r="AB59" i="20"/>
  <c r="AB60" i="20" s="1"/>
  <c r="AB61" i="20" s="1"/>
  <c r="M21" i="6"/>
  <c r="M22" i="6"/>
  <c r="P50" i="20"/>
  <c r="P52" i="20"/>
  <c r="AN54" i="6"/>
  <c r="AC53" i="20"/>
  <c r="AC56" i="20"/>
  <c r="AN57" i="6"/>
  <c r="T55" i="20"/>
  <c r="T53" i="20"/>
  <c r="T54" i="20" s="1"/>
  <c r="AB22" i="6"/>
  <c r="AB21" i="6"/>
  <c r="AF22" i="6"/>
  <c r="AF21" i="6"/>
  <c r="R56" i="20"/>
  <c r="R57" i="20" s="1"/>
  <c r="R58" i="20" s="1"/>
  <c r="R53" i="20"/>
  <c r="R54" i="20" s="1"/>
  <c r="R55" i="20" s="1"/>
  <c r="L48" i="20"/>
  <c r="L49" i="20" s="1"/>
  <c r="Z45" i="20"/>
  <c r="Z46" i="20" s="1"/>
  <c r="AB48" i="20"/>
  <c r="AB49" i="20" s="1"/>
  <c r="AB56" i="20"/>
  <c r="AB57" i="20" s="1"/>
  <c r="AB58" i="20" s="1"/>
  <c r="AK21" i="6"/>
  <c r="AK22" i="6"/>
  <c r="D60" i="6"/>
  <c r="C59" i="20"/>
  <c r="AP19" i="6"/>
  <c r="L19" i="6"/>
  <c r="X19" i="6"/>
  <c r="C19" i="6"/>
  <c r="AG19" i="6"/>
  <c r="AJ19" i="6"/>
  <c r="AD19" i="6"/>
  <c r="AA19" i="6"/>
  <c r="O19" i="6"/>
  <c r="AM19" i="6"/>
  <c r="C17" i="6"/>
  <c r="I19" i="6"/>
  <c r="R19" i="6"/>
  <c r="U19" i="6"/>
  <c r="C23" i="6"/>
  <c r="E20" i="6"/>
  <c r="C7" i="6"/>
  <c r="C24" i="6" s="1"/>
  <c r="D20" i="6"/>
  <c r="AF53" i="20"/>
  <c r="AF54" i="20" s="1"/>
  <c r="AF55" i="20" s="1"/>
  <c r="R50" i="20"/>
  <c r="R52" i="20"/>
  <c r="L53" i="20"/>
  <c r="L54" i="20" s="1"/>
  <c r="L55" i="20" s="1"/>
  <c r="N45" i="20"/>
  <c r="N46" i="20" s="1"/>
  <c r="P60" i="6"/>
  <c r="M59" i="20"/>
  <c r="AQ21" i="6"/>
  <c r="AQ22" i="6"/>
  <c r="AM11" i="6"/>
  <c r="AM10" i="6"/>
  <c r="R48" i="20"/>
  <c r="R49" i="20" s="1"/>
  <c r="L45" i="20"/>
  <c r="L46" i="20" s="1"/>
  <c r="Z42" i="20"/>
  <c r="Z43" i="20" s="1"/>
  <c r="J20" i="6"/>
  <c r="I17" i="6"/>
  <c r="I8" i="6"/>
  <c r="I7" i="6"/>
  <c r="K20" i="6"/>
  <c r="X55" i="20"/>
  <c r="X53" i="20"/>
  <c r="X54" i="20" s="1"/>
  <c r="AD63" i="20"/>
  <c r="AD64" i="20" s="1"/>
  <c r="L50" i="20"/>
  <c r="L52" i="20"/>
  <c r="Z56" i="20"/>
  <c r="AI21" i="6"/>
  <c r="AI22" i="6"/>
  <c r="I44" i="20"/>
  <c r="J44" i="20" s="1"/>
  <c r="J45" i="6"/>
  <c r="J60" i="6"/>
  <c r="I59" i="20"/>
  <c r="X59" i="20"/>
  <c r="X60" i="20" s="1"/>
  <c r="X61" i="20"/>
  <c r="AN42" i="6"/>
  <c r="AC41" i="20"/>
  <c r="AD41" i="20" s="1"/>
  <c r="AN60" i="6"/>
  <c r="AC59" i="20"/>
  <c r="AC21" i="6"/>
  <c r="AC22" i="6"/>
  <c r="W22" i="6"/>
  <c r="W21" i="6"/>
  <c r="X43" i="20"/>
  <c r="X42" i="20"/>
  <c r="X49" i="20"/>
  <c r="X48" i="20"/>
  <c r="AL21" i="6"/>
  <c r="AL22" i="6"/>
  <c r="AD68" i="20"/>
  <c r="AD69" i="20" s="1"/>
  <c r="AD70" i="20" s="1"/>
  <c r="D37" i="6"/>
  <c r="D45" i="6"/>
  <c r="C44" i="20"/>
  <c r="C14" i="6"/>
  <c r="D62" i="20"/>
  <c r="D63" i="20" s="1"/>
  <c r="D64" i="20" s="1"/>
  <c r="S22" i="6"/>
  <c r="S21" i="6"/>
  <c r="N50" i="20"/>
  <c r="N51" i="20" s="1"/>
  <c r="N52" i="20"/>
  <c r="P42" i="6"/>
  <c r="M41" i="20"/>
  <c r="N41" i="20" s="1"/>
  <c r="V55" i="20"/>
  <c r="V53" i="20"/>
  <c r="V54" i="20" s="1"/>
  <c r="AB45" i="20"/>
  <c r="AB46" i="20" s="1"/>
  <c r="AB50" i="20"/>
  <c r="AB52" i="20"/>
  <c r="AR21" i="6"/>
  <c r="AR22" i="6"/>
  <c r="P45" i="20"/>
  <c r="P46" i="20" s="1"/>
  <c r="T42" i="20"/>
  <c r="T43" i="20"/>
  <c r="AF59" i="20"/>
  <c r="AF60" i="20" s="1"/>
  <c r="AF61" i="20" s="1"/>
  <c r="V45" i="20"/>
  <c r="V46" i="20"/>
  <c r="I14" i="6"/>
  <c r="AB38" i="20" l="1"/>
  <c r="AB65" i="20" s="1"/>
  <c r="AB66" i="20" s="1"/>
  <c r="AB67" i="20" s="1"/>
  <c r="Z38" i="20"/>
  <c r="L38" i="20"/>
  <c r="L65" i="20" s="1"/>
  <c r="L66" i="20" s="1"/>
  <c r="L67" i="20" s="1"/>
  <c r="R38" i="20"/>
  <c r="R65" i="20" s="1"/>
  <c r="R66" i="20" s="1"/>
  <c r="R67" i="20" s="1"/>
  <c r="C8" i="6"/>
  <c r="L51" i="20"/>
  <c r="D69" i="20"/>
  <c r="D70" i="20" s="1"/>
  <c r="P38" i="20"/>
  <c r="P39" i="20" s="1"/>
  <c r="P40" i="20" s="1"/>
  <c r="Z65" i="20"/>
  <c r="Z66" i="20" s="1"/>
  <c r="Z67" i="20" s="1"/>
  <c r="Z39" i="20"/>
  <c r="Z40" i="20" s="1"/>
  <c r="AD42" i="20"/>
  <c r="AD43" i="20" s="1"/>
  <c r="J45" i="20"/>
  <c r="J46" i="20" s="1"/>
  <c r="Z57" i="20"/>
  <c r="Z58" i="20" s="1"/>
  <c r="E21" i="6"/>
  <c r="E22" i="6"/>
  <c r="D59" i="20"/>
  <c r="D60" i="20" s="1"/>
  <c r="D61" i="20" s="1"/>
  <c r="P51" i="20"/>
  <c r="D56" i="20"/>
  <c r="D57" i="20" s="1"/>
  <c r="D58" i="20" s="1"/>
  <c r="AD48" i="20"/>
  <c r="AD49" i="20" s="1"/>
  <c r="AB39" i="20"/>
  <c r="AB40" i="20" s="1"/>
  <c r="J59" i="20"/>
  <c r="J60" i="20" s="1"/>
  <c r="J61" i="20" s="1"/>
  <c r="N59" i="20"/>
  <c r="N60" i="20" s="1"/>
  <c r="N61" i="20" s="1"/>
  <c r="R51" i="20"/>
  <c r="AD56" i="20"/>
  <c r="AD57" i="20" s="1"/>
  <c r="AD58" i="20" s="1"/>
  <c r="J50" i="20"/>
  <c r="J52" i="20"/>
  <c r="AN22" i="6"/>
  <c r="AN21" i="6"/>
  <c r="D53" i="20"/>
  <c r="D54" i="20" s="1"/>
  <c r="D55" i="20" s="1"/>
  <c r="J56" i="20"/>
  <c r="J57" i="20" s="1"/>
  <c r="J58" i="20" s="1"/>
  <c r="J53" i="20"/>
  <c r="J54" i="20" s="1"/>
  <c r="J55" i="20" s="1"/>
  <c r="X38" i="20"/>
  <c r="B80" i="20"/>
  <c r="J21" i="6"/>
  <c r="J22" i="6"/>
  <c r="D22" i="6"/>
  <c r="D21" i="6"/>
  <c r="AD53" i="20"/>
  <c r="AD54" i="20" s="1"/>
  <c r="AD55" i="20" s="1"/>
  <c r="AO22" i="6"/>
  <c r="AO21" i="6"/>
  <c r="D41" i="20"/>
  <c r="AF38" i="20"/>
  <c r="J48" i="20"/>
  <c r="J49" i="20" s="1"/>
  <c r="V38" i="20"/>
  <c r="D44" i="20"/>
  <c r="D45" i="20" s="1"/>
  <c r="D46" i="20" s="1"/>
  <c r="AD59" i="20"/>
  <c r="AD60" i="20" s="1"/>
  <c r="AD61" i="20" s="1"/>
  <c r="K22" i="6"/>
  <c r="K21" i="6"/>
  <c r="AB51" i="20"/>
  <c r="N42" i="20"/>
  <c r="N43" i="20" s="1"/>
  <c r="AD50" i="20"/>
  <c r="AD51" i="20" s="1"/>
  <c r="AD52" i="20"/>
  <c r="J42" i="20"/>
  <c r="J43" i="20" s="1"/>
  <c r="Q22" i="6"/>
  <c r="Q21" i="6"/>
  <c r="P21" i="6"/>
  <c r="P22" i="6"/>
  <c r="X51" i="20"/>
  <c r="T38" i="20"/>
  <c r="AD45" i="20"/>
  <c r="AD46" i="20" s="1"/>
  <c r="L39" i="20" l="1"/>
  <c r="L40" i="20" s="1"/>
  <c r="P65" i="20"/>
  <c r="P66" i="20" s="1"/>
  <c r="P67" i="20" s="1"/>
  <c r="R39" i="20"/>
  <c r="R40" i="20" s="1"/>
  <c r="N38" i="20"/>
  <c r="N65" i="20" s="1"/>
  <c r="N66" i="20" s="1"/>
  <c r="N67" i="20" s="1"/>
  <c r="D38" i="20"/>
  <c r="D39" i="20" s="1"/>
  <c r="D40" i="20" s="1"/>
  <c r="X65" i="20"/>
  <c r="X66" i="20" s="1"/>
  <c r="X39" i="20"/>
  <c r="J38" i="20"/>
  <c r="V65" i="20"/>
  <c r="V66" i="20" s="1"/>
  <c r="V39" i="20"/>
  <c r="T65" i="20"/>
  <c r="T66" i="20" s="1"/>
  <c r="T39" i="20"/>
  <c r="D42" i="20"/>
  <c r="D43" i="20" s="1"/>
  <c r="S32" i="15"/>
  <c r="R31" i="15"/>
  <c r="S37" i="15" s="1"/>
  <c r="AB35" i="20"/>
  <c r="AD38" i="20"/>
  <c r="AF65" i="20"/>
  <c r="AF66" i="20" s="1"/>
  <c r="AF67" i="20" s="1"/>
  <c r="AF39" i="20"/>
  <c r="AF40" i="20" s="1"/>
  <c r="P35" i="20"/>
  <c r="R35" i="20"/>
  <c r="J51" i="20"/>
  <c r="L35" i="20"/>
  <c r="Z35" i="20"/>
  <c r="N39" i="20" l="1"/>
  <c r="N40" i="20" s="1"/>
  <c r="D65" i="20"/>
  <c r="D35" i="20" s="1"/>
  <c r="D36" i="20" s="1"/>
  <c r="D37" i="20" s="1"/>
  <c r="A80" i="20"/>
  <c r="AF35" i="20"/>
  <c r="AF36" i="20" s="1"/>
  <c r="AF37" i="20" s="1"/>
  <c r="AB36" i="20"/>
  <c r="AB37" i="20" s="1"/>
  <c r="AB12" i="20"/>
  <c r="N41" i="10"/>
  <c r="N47" i="10" s="1"/>
  <c r="N50" i="10" s="1"/>
  <c r="AB108" i="20" s="1"/>
  <c r="AB106" i="20" s="1"/>
  <c r="AB100" i="20" s="1"/>
  <c r="N35" i="20"/>
  <c r="X35" i="20"/>
  <c r="R12" i="20"/>
  <c r="R36" i="20"/>
  <c r="R37" i="20" s="1"/>
  <c r="I41" i="10"/>
  <c r="I47" i="10" s="1"/>
  <c r="I50" i="10" s="1"/>
  <c r="R108" i="20" s="1"/>
  <c r="R106" i="20" s="1"/>
  <c r="R100" i="20" s="1"/>
  <c r="S36" i="15"/>
  <c r="W37" i="15"/>
  <c r="V35" i="20"/>
  <c r="J65" i="20"/>
  <c r="J66" i="20" s="1"/>
  <c r="J67" i="20" s="1"/>
  <c r="J39" i="20"/>
  <c r="J40" i="20" s="1"/>
  <c r="AF12" i="20"/>
  <c r="Z36" i="20"/>
  <c r="Z37" i="20" s="1"/>
  <c r="M41" i="10"/>
  <c r="M47" i="10" s="1"/>
  <c r="M50" i="10" s="1"/>
  <c r="Z108" i="20" s="1"/>
  <c r="Z106" i="20" s="1"/>
  <c r="Z100" i="20" s="1"/>
  <c r="Z12" i="20"/>
  <c r="P36" i="20"/>
  <c r="P37" i="20" s="1"/>
  <c r="P12" i="20"/>
  <c r="H41" i="10"/>
  <c r="H47" i="10" s="1"/>
  <c r="H50" i="10" s="1"/>
  <c r="P108" i="20" s="1"/>
  <c r="P106" i="20" s="1"/>
  <c r="P100" i="20" s="1"/>
  <c r="AD65" i="20"/>
  <c r="AD66" i="20" s="1"/>
  <c r="AD67" i="20" s="1"/>
  <c r="AD39" i="20"/>
  <c r="AD40" i="20" s="1"/>
  <c r="S31" i="15"/>
  <c r="W32" i="15"/>
  <c r="T35" i="20"/>
  <c r="L36" i="20"/>
  <c r="L37" i="20" s="1"/>
  <c r="L12" i="20"/>
  <c r="F42" i="10"/>
  <c r="F48" i="10" s="1"/>
  <c r="F51" i="10" s="1"/>
  <c r="L108" i="20" s="1"/>
  <c r="L106" i="20" s="1"/>
  <c r="L100" i="20" s="1"/>
  <c r="D66" i="20" l="1"/>
  <c r="D67" i="20" s="1"/>
  <c r="AB18" i="20"/>
  <c r="AB19" i="20" s="1"/>
  <c r="AB20" i="20" s="1"/>
  <c r="AB101" i="20"/>
  <c r="Z18" i="20"/>
  <c r="Z19" i="20" s="1"/>
  <c r="Z20" i="20" s="1"/>
  <c r="Z101" i="20"/>
  <c r="R18" i="20"/>
  <c r="R19" i="20" s="1"/>
  <c r="R20" i="20" s="1"/>
  <c r="R101" i="20"/>
  <c r="P18" i="20"/>
  <c r="P19" i="20" s="1"/>
  <c r="P20" i="20" s="1"/>
  <c r="P101" i="20"/>
  <c r="L18" i="20"/>
  <c r="L19" i="20" s="1"/>
  <c r="L20" i="20" s="1"/>
  <c r="L101" i="20"/>
  <c r="D12" i="20"/>
  <c r="D20" i="16" s="1"/>
  <c r="D19" i="16" s="1"/>
  <c r="D76" i="20"/>
  <c r="D77" i="20" s="1"/>
  <c r="C80" i="20"/>
  <c r="C42" i="10"/>
  <c r="C48" i="10" s="1"/>
  <c r="C51" i="10" s="1"/>
  <c r="D108" i="20" s="1"/>
  <c r="Q32" i="15" s="1"/>
  <c r="J35" i="20"/>
  <c r="J36" i="20" s="1"/>
  <c r="J37" i="20" s="1"/>
  <c r="P41" i="10"/>
  <c r="P47" i="10" s="1"/>
  <c r="P50" i="10" s="1"/>
  <c r="AF108" i="20" s="1"/>
  <c r="AF106" i="20" s="1"/>
  <c r="AF100" i="20" s="1"/>
  <c r="S6" i="15"/>
  <c r="W31" i="15"/>
  <c r="C47" i="16"/>
  <c r="F47" i="16" s="1"/>
  <c r="AD35" i="20"/>
  <c r="Z13" i="20"/>
  <c r="Z14" i="20" s="1"/>
  <c r="Z9" i="20"/>
  <c r="Z10" i="20" s="1"/>
  <c r="Z11" i="20" s="1"/>
  <c r="AF9" i="20"/>
  <c r="AF10" i="20" s="1"/>
  <c r="AF11" i="20" s="1"/>
  <c r="AF13" i="20"/>
  <c r="AF14" i="20" s="1"/>
  <c r="J12" i="20"/>
  <c r="N36" i="20"/>
  <c r="N37" i="20" s="1"/>
  <c r="N12" i="20"/>
  <c r="G41" i="10"/>
  <c r="G47" i="10" s="1"/>
  <c r="G50" i="10" s="1"/>
  <c r="N108" i="20" s="1"/>
  <c r="N106" i="20" s="1"/>
  <c r="N100" i="20" s="1"/>
  <c r="B27" i="20"/>
  <c r="D13" i="20"/>
  <c r="D9" i="20"/>
  <c r="D10" i="20" s="1"/>
  <c r="D11" i="20" s="1"/>
  <c r="L13" i="20"/>
  <c r="L14" i="20" s="1"/>
  <c r="L9" i="20"/>
  <c r="L10" i="20" s="1"/>
  <c r="L11" i="20" s="1"/>
  <c r="V36" i="20"/>
  <c r="V37" i="20" s="1"/>
  <c r="V12" i="20"/>
  <c r="K41" i="10"/>
  <c r="K47" i="10" s="1"/>
  <c r="K50" i="10" s="1"/>
  <c r="V108" i="20" s="1"/>
  <c r="V106" i="20" s="1"/>
  <c r="V100" i="20" s="1"/>
  <c r="P6" i="20"/>
  <c r="P13" i="20"/>
  <c r="P14" i="20" s="1"/>
  <c r="P9" i="20"/>
  <c r="P10" i="20" s="1"/>
  <c r="P11" i="20" s="1"/>
  <c r="W36" i="15"/>
  <c r="C50" i="16"/>
  <c r="F50" i="16" s="1"/>
  <c r="E50" i="16" s="1"/>
  <c r="D50" i="16" s="1"/>
  <c r="R9" i="20"/>
  <c r="R10" i="20" s="1"/>
  <c r="R11" i="20" s="1"/>
  <c r="R13" i="20"/>
  <c r="R14" i="20" s="1"/>
  <c r="AB13" i="20"/>
  <c r="AB14" i="20" s="1"/>
  <c r="AB9" i="20"/>
  <c r="AB10" i="20" s="1"/>
  <c r="AB11" i="20" s="1"/>
  <c r="T36" i="20"/>
  <c r="T37" i="20" s="1"/>
  <c r="T12" i="20"/>
  <c r="J41" i="10"/>
  <c r="J47" i="10" s="1"/>
  <c r="J50" i="10" s="1"/>
  <c r="T108" i="20" s="1"/>
  <c r="T106" i="20" s="1"/>
  <c r="T100" i="20" s="1"/>
  <c r="X36" i="20"/>
  <c r="X37" i="20" s="1"/>
  <c r="X12" i="20"/>
  <c r="L41" i="10"/>
  <c r="L47" i="10" s="1"/>
  <c r="L50" i="10" s="1"/>
  <c r="X108" i="20" s="1"/>
  <c r="X106" i="20" s="1"/>
  <c r="X100" i="20" s="1"/>
  <c r="L6" i="20" l="1"/>
  <c r="L7" i="20" s="1"/>
  <c r="L8" i="20" s="1"/>
  <c r="AB6" i="20"/>
  <c r="AB7" i="20" s="1"/>
  <c r="AB8" i="20" s="1"/>
  <c r="Z6" i="20"/>
  <c r="Z23" i="20" s="1"/>
  <c r="Z24" i="20" s="1"/>
  <c r="D14" i="20"/>
  <c r="E20" i="16"/>
  <c r="E19" i="16" s="1"/>
  <c r="F93" i="15" s="1"/>
  <c r="AF18" i="20"/>
  <c r="AF19" i="20" s="1"/>
  <c r="AF20" i="20" s="1"/>
  <c r="AF101" i="20"/>
  <c r="X18" i="20"/>
  <c r="X19" i="20" s="1"/>
  <c r="X20" i="20" s="1"/>
  <c r="X101" i="20"/>
  <c r="R6" i="20"/>
  <c r="R7" i="20" s="1"/>
  <c r="R8" i="20" s="1"/>
  <c r="V18" i="20"/>
  <c r="V19" i="20" s="1"/>
  <c r="V20" i="20" s="1"/>
  <c r="V101" i="20"/>
  <c r="T18" i="20"/>
  <c r="T19" i="20" s="1"/>
  <c r="T20" i="20" s="1"/>
  <c r="T101" i="20"/>
  <c r="N18" i="20"/>
  <c r="N19" i="20" s="1"/>
  <c r="N20" i="20" s="1"/>
  <c r="N101" i="20"/>
  <c r="E47" i="16"/>
  <c r="D47" i="16" s="1"/>
  <c r="E43" i="16"/>
  <c r="D43" i="16" s="1"/>
  <c r="E49" i="16"/>
  <c r="D49" i="16" s="1"/>
  <c r="E61" i="16"/>
  <c r="D61" i="16" s="1"/>
  <c r="E58" i="16"/>
  <c r="D58" i="16" s="1"/>
  <c r="E57" i="16"/>
  <c r="D57" i="16" s="1"/>
  <c r="E53" i="16"/>
  <c r="D53" i="16" s="1"/>
  <c r="E41" i="16"/>
  <c r="D41" i="16" s="1"/>
  <c r="E42" i="16"/>
  <c r="D42" i="16" s="1"/>
  <c r="E54" i="16"/>
  <c r="D54" i="16" s="1"/>
  <c r="E46" i="16"/>
  <c r="D46" i="16" s="1"/>
  <c r="E51" i="16"/>
  <c r="D51" i="16" s="1"/>
  <c r="E60" i="16"/>
  <c r="D60" i="16" s="1"/>
  <c r="E62" i="16"/>
  <c r="D62" i="16" s="1"/>
  <c r="E45" i="16"/>
  <c r="D45" i="16" s="1"/>
  <c r="E55" i="16"/>
  <c r="D55" i="16" s="1"/>
  <c r="E63" i="16"/>
  <c r="D63" i="16" s="1"/>
  <c r="E56" i="16"/>
  <c r="D56" i="16" s="1"/>
  <c r="E59" i="16"/>
  <c r="D59" i="16" s="1"/>
  <c r="E44" i="16"/>
  <c r="D44" i="16" s="1"/>
  <c r="E48" i="16"/>
  <c r="D48" i="16" s="1"/>
  <c r="E52" i="16"/>
  <c r="D52" i="16" s="1"/>
  <c r="D106" i="20"/>
  <c r="E42" i="10"/>
  <c r="E48" i="10" s="1"/>
  <c r="E51" i="10" s="1"/>
  <c r="J108" i="20" s="1"/>
  <c r="J106" i="20" s="1"/>
  <c r="J100" i="20" s="1"/>
  <c r="T13" i="20"/>
  <c r="T14" i="20" s="1"/>
  <c r="T9" i="20"/>
  <c r="T10" i="20" s="1"/>
  <c r="P7" i="20"/>
  <c r="P8" i="20" s="1"/>
  <c r="P23" i="20"/>
  <c r="P24" i="20" s="1"/>
  <c r="V13" i="20"/>
  <c r="V14" i="20" s="1"/>
  <c r="V9" i="20"/>
  <c r="V10" i="20" s="1"/>
  <c r="J13" i="20"/>
  <c r="J14" i="20" s="1"/>
  <c r="J9" i="20"/>
  <c r="J10" i="20" s="1"/>
  <c r="J11" i="20" s="1"/>
  <c r="AD36" i="20"/>
  <c r="AD37" i="20" s="1"/>
  <c r="AD12" i="20"/>
  <c r="O41" i="10"/>
  <c r="O47" i="10" s="1"/>
  <c r="O50" i="10" s="1"/>
  <c r="AD108" i="20" s="1"/>
  <c r="AD106" i="20" s="1"/>
  <c r="AD100" i="20" s="1"/>
  <c r="X6" i="20"/>
  <c r="X13" i="20"/>
  <c r="X14" i="20" s="1"/>
  <c r="X9" i="20"/>
  <c r="X10" i="20" s="1"/>
  <c r="AB23" i="20"/>
  <c r="AB24" i="20" s="1"/>
  <c r="Q31" i="15"/>
  <c r="X32" i="15"/>
  <c r="N13" i="20"/>
  <c r="N14" i="20" s="1"/>
  <c r="N9" i="20"/>
  <c r="N10" i="20" s="1"/>
  <c r="N11" i="20" s="1"/>
  <c r="W6" i="15"/>
  <c r="Z7" i="20" l="1"/>
  <c r="Z8" i="20" s="1"/>
  <c r="L23" i="20"/>
  <c r="L24" i="20" s="1"/>
  <c r="R23" i="20"/>
  <c r="R24" i="20" s="1"/>
  <c r="T6" i="20"/>
  <c r="T7" i="20" s="1"/>
  <c r="T8" i="20" s="1"/>
  <c r="AF6" i="20"/>
  <c r="AF7" i="20" s="1"/>
  <c r="AF8" i="20" s="1"/>
  <c r="D100" i="20"/>
  <c r="D115" i="20" s="1"/>
  <c r="E23" i="16"/>
  <c r="D10" i="16" s="1"/>
  <c r="F95" i="15"/>
  <c r="AD18" i="20"/>
  <c r="AD19" i="20" s="1"/>
  <c r="AD20" i="20" s="1"/>
  <c r="AD101" i="20"/>
  <c r="N6" i="20"/>
  <c r="N23" i="20" s="1"/>
  <c r="N24" i="20" s="1"/>
  <c r="V6" i="20"/>
  <c r="V23" i="20" s="1"/>
  <c r="V24" i="20" s="1"/>
  <c r="J18" i="20"/>
  <c r="J19" i="20" s="1"/>
  <c r="J20" i="20" s="1"/>
  <c r="J101" i="20"/>
  <c r="J6" i="20"/>
  <c r="J23" i="20" s="1"/>
  <c r="J24" i="20" s="1"/>
  <c r="X31" i="15"/>
  <c r="Y32" i="15"/>
  <c r="Y31" i="15" s="1"/>
  <c r="Y6" i="15" s="1"/>
  <c r="AD9" i="20"/>
  <c r="AD10" i="20" s="1"/>
  <c r="AD11" i="20" s="1"/>
  <c r="AD13" i="20"/>
  <c r="AD14" i="20" s="1"/>
  <c r="T23" i="20"/>
  <c r="T24" i="20" s="1"/>
  <c r="X7" i="20"/>
  <c r="X8" i="20" s="1"/>
  <c r="X23" i="20"/>
  <c r="X24" i="20" s="1"/>
  <c r="AF23" i="20" l="1"/>
  <c r="AF24" i="20" s="1"/>
  <c r="D101" i="20"/>
  <c r="V7" i="20"/>
  <c r="V8" i="20" s="1"/>
  <c r="J7" i="20"/>
  <c r="J8" i="20" s="1"/>
  <c r="N7" i="20"/>
  <c r="N8" i="20" s="1"/>
  <c r="AD6" i="20"/>
  <c r="AD7" i="20" s="1"/>
  <c r="AD8" i="20" s="1"/>
  <c r="D18" i="20"/>
  <c r="E22" i="16"/>
  <c r="F94" i="15" s="1"/>
  <c r="AD23" i="20" l="1"/>
  <c r="AD24" i="20" s="1"/>
  <c r="D22" i="16"/>
  <c r="D18" i="16" s="1"/>
  <c r="D19" i="20"/>
  <c r="D20" i="20" s="1"/>
  <c r="C27" i="20"/>
  <c r="D6" i="20"/>
  <c r="D7" i="20" l="1"/>
  <c r="D23" i="20"/>
  <c r="C35" i="16"/>
  <c r="F89" i="15"/>
  <c r="C32" i="16" l="1"/>
  <c r="C33" i="16" s="1"/>
  <c r="D33" i="16" s="1"/>
  <c r="C34" i="16"/>
  <c r="C36" i="16" s="1"/>
  <c r="F91" i="15" s="1"/>
  <c r="F90" i="15"/>
  <c r="F96" i="15"/>
  <c r="F97" i="15" s="1"/>
  <c r="D24" i="20"/>
  <c r="D8" i="20"/>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<sst xmlns="http://schemas.openxmlformats.org/spreadsheetml/2006/main" count="5354" uniqueCount="1949">
  <si>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</si>
  <si>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</si>
  <si>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</si>
  <si>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</si>
  <si>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</si>
  <si>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</si>
  <si>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</si>
  <si>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</si>
  <si>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</si>
  <si>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</si>
  <si>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</si>
  <si>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</si>
  <si>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</si>
  <si>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</si>
  <si>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</si>
  <si>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</si>
  <si>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</si>
  <si>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</si>
  <si>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</si>
  <si>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</si>
  <si>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</si>
  <si>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</si>
  <si>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</si>
  <si>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</si>
  <si>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</si>
  <si>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</si>
  <si>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</si>
  <si>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</si>
  <si>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</si>
  <si>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</si>
  <si>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</si>
  <si>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</si>
  <si>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</si>
  <si>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</si>
  <si>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</si>
  <si>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</si>
  <si>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</si>
  <si>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</si>
  <si>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</si>
  <si>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</si>
  <si>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</si>
  <si>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</si>
  <si>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</si>
  <si>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</si>
  <si>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</si>
  <si>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</si>
  <si>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</si>
  <si>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</si>
  <si>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</si>
  <si>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</si>
  <si>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</si>
  <si>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</si>
  <si>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</si>
  <si>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</si>
  <si>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</si>
  <si>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</si>
  <si>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</si>
  <si>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</si>
  <si>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</si>
  <si>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</si>
  <si>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</si>
  <si>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</si>
  <si>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</si>
  <si>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</si>
  <si>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</si>
  <si>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</si>
  <si>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</si>
  <si>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</si>
  <si>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</si>
  <si>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</si>
  <si>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</si>
  <si>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</si>
  <si>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</si>
  <si>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</si>
  <si>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</si>
  <si>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</si>
  <si>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</si>
  <si>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</si>
  <si>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</si>
  <si>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</si>
  <si>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</si>
  <si>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</si>
  <si>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</si>
  <si>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</si>
  <si>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</si>
  <si>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</si>
  <si>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</si>
  <si>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</si>
  <si>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</si>
  <si>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</si>
  <si>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</si>
  <si>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</si>
  <si>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</si>
  <si>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</si>
  <si>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</si>
  <si>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</si>
  <si>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</si>
  <si>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</si>
  <si>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</si>
  <si>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</si>
  <si>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</si>
  <si>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</si>
  <si>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</si>
  <si>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</si>
  <si>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</si>
  <si>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</si>
  <si>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</si>
  <si>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</si>
  <si>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</si>
  <si>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</si>
  <si>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</si>
  <si>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</si>
  <si>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</si>
  <si>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</si>
  <si>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</si>
  <si>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</si>
  <si>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</si>
  <si>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</si>
  <si>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</si>
  <si>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</si>
  <si>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</si>
  <si>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</si>
  <si>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</si>
  <si>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</si>
  <si>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</si>
  <si>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</si>
  <si>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</si>
  <si>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</si>
  <si>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</si>
  <si>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</si>
  <si>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</si>
  <si>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</si>
  <si>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</si>
  <si>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</si>
  <si>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</si>
  <si>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</si>
  <si>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</si>
  <si>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</si>
  <si>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</si>
  <si>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</si>
  <si>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</si>
  <si>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</si>
  <si>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</si>
  <si>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</si>
  <si>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</si>
  <si>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</si>
  <si>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</si>
  <si>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</si>
  <si>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</si>
  <si>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</si>
  <si>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</si>
  <si>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</si>
  <si>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</si>
  <si>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</si>
  <si>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</si>
  <si>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</si>
  <si>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</si>
  <si>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</si>
  <si>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</si>
  <si>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</si>
  <si>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</si>
  <si>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</si>
  <si>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</si>
  <si>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</si>
  <si>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</si>
  <si>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</si>
  <si>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</si>
  <si>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</si>
  <si>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</si>
  <si>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</si>
  <si>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</si>
  <si>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</si>
  <si>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</si>
  <si>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</si>
  <si>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</si>
  <si>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</si>
  <si>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</si>
  <si>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</si>
  <si>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</si>
  <si>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</si>
  <si>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</si>
  <si>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</si>
  <si>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</si>
  <si>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</si>
  <si>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</si>
  <si>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</si>
  <si>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</si>
  <si>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</si>
  <si>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</si>
  <si>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</si>
  <si>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</si>
  <si>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</si>
  <si>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</si>
  <si>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</si>
  <si>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</si>
  <si>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</si>
  <si>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</si>
  <si>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</si>
  <si>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</si>
  <si>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</si>
  <si>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</si>
  <si>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</si>
  <si>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</si>
  <si>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</si>
  <si>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</si>
  <si>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</si>
  <si>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</si>
  <si>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</si>
  <si>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</si>
  <si>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</si>
  <si>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</si>
  <si>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</si>
  <si>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</si>
  <si>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</si>
  <si>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</si>
  <si>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</si>
  <si>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</si>
  <si>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</si>
  <si>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</si>
  <si>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</si>
  <si>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</si>
  <si>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</si>
  <si>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</si>
  <si>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</si>
  <si>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</si>
  <si>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</si>
  <si>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</si>
  <si>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</si>
  <si>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</si>
  <si>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</si>
  <si>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</si>
  <si>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</si>
  <si>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</si>
  <si>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</si>
  <si>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</si>
  <si>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</si>
  <si>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</si>
  <si>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</si>
  <si>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</si>
  <si>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</si>
  <si>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</si>
  <si>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</si>
  <si>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</si>
  <si>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</si>
  <si>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</si>
  <si>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</si>
  <si>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</si>
  <si>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</si>
  <si>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</si>
  <si>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</si>
  <si>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</si>
  <si>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</si>
  <si>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</si>
  <si>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</si>
  <si>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</si>
  <si>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</si>
  <si>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</si>
  <si>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</si>
  <si>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</si>
  <si>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</si>
  <si>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</si>
  <si>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</si>
  <si>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</si>
  <si>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</si>
  <si>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</si>
  <si>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</si>
  <si>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</si>
  <si>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</si>
  <si>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</si>
  <si>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</si>
  <si>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</si>
  <si>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</si>
  <si>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</si>
  <si>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</si>
  <si>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</si>
  <si>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</si>
  <si>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</si>
  <si>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</si>
  <si>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</si>
  <si>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</si>
  <si>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</si>
  <si>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</si>
  <si>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</si>
  <si>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</si>
  <si>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</si>
  <si>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</si>
  <si>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</si>
  <si>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</si>
  <si>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</si>
  <si>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</si>
  <si>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</si>
  <si>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</si>
  <si>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</si>
  <si>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</si>
  <si>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</si>
  <si>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</si>
  <si>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</si>
  <si>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</si>
  <si>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</si>
  <si>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</si>
  <si>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</si>
  <si>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</si>
  <si>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</si>
  <si>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</si>
  <si>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</si>
  <si>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</si>
  <si>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</si>
  <si>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</si>
  <si>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</si>
  <si>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</si>
  <si>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</si>
  <si>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</si>
  <si>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</si>
  <si>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</si>
  <si>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</si>
  <si>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</si>
  <si>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</si>
  <si>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</si>
  <si>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</si>
  <si>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</si>
  <si>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</si>
  <si>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</si>
  <si>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</si>
  <si>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</si>
  <si>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</si>
  <si>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</si>
  <si>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</si>
  <si>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</si>
  <si>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</si>
  <si>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</si>
  <si>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</si>
  <si>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</si>
  <si>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</si>
  <si>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</si>
  <si>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</si>
  <si>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</si>
  <si>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</si>
  <si>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</si>
  <si>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</si>
  <si>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</si>
  <si>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</si>
  <si>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</si>
  <si>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</si>
  <si>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</si>
  <si>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</si>
  <si>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</si>
  <si>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</si>
  <si>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</si>
  <si>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</si>
  <si>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</si>
  <si>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</si>
  <si>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</si>
  <si>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</si>
  <si>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</si>
  <si>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</si>
  <si>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</si>
  <si>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</si>
  <si>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</si>
  <si>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</si>
  <si>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</si>
  <si>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</si>
  <si>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</si>
  <si>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</si>
  <si>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</si>
  <si>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</si>
  <si>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</si>
  <si>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</si>
  <si>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</si>
  <si>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</si>
  <si>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</si>
  <si>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</si>
  <si>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</si>
  <si>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</si>
  <si>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</si>
  <si>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</si>
  <si>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</si>
  <si>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</si>
  <si>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</si>
  <si>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</si>
  <si>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</si>
  <si>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</si>
  <si>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</si>
  <si>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</si>
  <si>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</si>
  <si>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</si>
  <si>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</si>
  <si>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</si>
  <si>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</si>
  <si>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</si>
  <si>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</si>
  <si>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</si>
  <si>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</si>
  <si>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</si>
  <si>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</si>
  <si>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</si>
  <si>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</si>
  <si>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</si>
  <si>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</si>
  <si>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</si>
  <si>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</si>
  <si>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</si>
  <si>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</si>
  <si>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</si>
  <si>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</si>
  <si>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</si>
  <si>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</si>
  <si>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</si>
  <si>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</si>
  <si>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</si>
  <si>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</si>
  <si>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</si>
  <si>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</si>
  <si>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</si>
  <si>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</si>
  <si>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</si>
  <si>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</si>
  <si>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</si>
  <si>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</si>
  <si>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</si>
  <si>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</si>
  <si>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</si>
  <si>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</si>
  <si>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</si>
  <si>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</si>
  <si>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</si>
  <si>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</si>
  <si>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</si>
  <si>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</si>
  <si>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</si>
  <si>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</si>
  <si>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</si>
  <si>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</si>
  <si>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</si>
  <si>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</si>
  <si>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</si>
  <si>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</si>
  <si>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</si>
  <si>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</si>
  <si>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</si>
  <si>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</si>
  <si>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</si>
  <si>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</si>
  <si>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</si>
  <si>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</si>
  <si>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</si>
  <si>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</si>
  <si>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</si>
  <si>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</si>
  <si>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</si>
  <si>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</si>
  <si>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</si>
  <si>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</si>
  <si>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</si>
  <si>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</si>
  <si>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</si>
  <si>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</si>
  <si>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</si>
  <si>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</si>
  <si>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</si>
  <si>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</si>
  <si>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</si>
  <si>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</si>
  <si>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</si>
  <si>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</si>
  <si>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</si>
  <si>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</si>
  <si>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</si>
  <si>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</si>
  <si>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</si>
  <si>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</si>
  <si>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</si>
  <si>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</si>
  <si>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</si>
  <si>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</si>
  <si>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</si>
  <si>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</si>
  <si>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</si>
  <si>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</si>
  <si>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</si>
  <si>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</si>
  <si>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</si>
  <si>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</si>
  <si>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</si>
  <si>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</si>
  <si>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</si>
  <si>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</si>
  <si>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</si>
  <si>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</si>
  <si>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</si>
  <si>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</si>
  <si>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</si>
  <si>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</si>
  <si>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</si>
  <si>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</si>
  <si>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</si>
  <si>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</si>
  <si>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</si>
  <si>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</si>
  <si>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</si>
  <si>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</si>
  <si>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</si>
  <si>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</si>
  <si>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</si>
  <si>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</si>
  <si>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</si>
  <si>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</si>
  <si>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</si>
  <si>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</si>
  <si>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</si>
  <si>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</si>
  <si>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</si>
  <si>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</si>
  <si>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</si>
  <si>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</si>
  <si>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</si>
  <si>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</si>
  <si>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</si>
  <si>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</si>
  <si>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</si>
  <si>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</si>
  <si>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</si>
  <si>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</si>
  <si>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</si>
  <si>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</si>
  <si>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</si>
  <si>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</si>
  <si>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</si>
  <si>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</si>
  <si>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</si>
  <si>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</si>
  <si>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</si>
  <si>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</si>
  <si>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</si>
  <si>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</si>
  <si>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</si>
  <si>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</si>
  <si>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</si>
  <si>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</si>
  <si>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</si>
  <si>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</si>
  <si>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</si>
  <si>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</si>
  <si>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</si>
  <si>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</si>
  <si>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</si>
  <si>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</si>
  <si>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</si>
  <si>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</si>
  <si>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</si>
  <si>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</si>
  <si>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</si>
  <si>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</si>
  <si>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</si>
  <si>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</si>
  <si>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</si>
  <si>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</si>
  <si>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</si>
  <si>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</si>
  <si>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</si>
  <si>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</si>
  <si>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</si>
  <si>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</si>
  <si>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</si>
  <si>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</si>
  <si>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</si>
  <si>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</si>
  <si>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</si>
  <si>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</si>
  <si>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</si>
  <si>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</si>
  <si>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</si>
  <si>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</si>
  <si>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</si>
  <si>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</si>
  <si>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</si>
  <si>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</si>
  <si>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</si>
  <si>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</si>
  <si>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</si>
  <si>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</si>
  <si>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</si>
  <si>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</si>
  <si>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</si>
  <si>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</si>
  <si>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</si>
  <si>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</si>
  <si>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</si>
  <si>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</si>
  <si>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</si>
  <si>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</si>
  <si>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</si>
  <si>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</si>
  <si>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</si>
  <si>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</si>
  <si>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</si>
  <si>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</si>
  <si>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</si>
  <si>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</si>
  <si>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</si>
  <si>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</si>
  <si>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</si>
  <si>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</si>
  <si>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</si>
  <si>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</si>
  <si>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</si>
  <si>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</si>
  <si>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</si>
  <si>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</si>
  <si>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</si>
  <si>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</si>
  <si>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</si>
  <si>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</si>
  <si>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</si>
  <si>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</si>
  <si>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</si>
  <si>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</si>
  <si>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</si>
  <si>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</si>
  <si>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</si>
  <si>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</si>
  <si>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</si>
  <si>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</si>
  <si>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</si>
  <si>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</si>
  <si>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</si>
  <si>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</si>
  <si>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</si>
  <si>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</si>
  <si>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</si>
  <si>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</si>
  <si>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</si>
  <si>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</si>
  <si>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</si>
  <si>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</si>
  <si>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</si>
  <si>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</si>
  <si>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</si>
  <si>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</si>
  <si>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</si>
  <si>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</si>
  <si>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</si>
  <si>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</si>
  <si>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</si>
  <si>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</si>
  <si>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</si>
  <si>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</si>
  <si>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</si>
  <si>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</si>
  <si>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</si>
  <si>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</si>
  <si>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</si>
  <si>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</si>
  <si>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</si>
  <si>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</si>
  <si>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</si>
  <si>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</si>
  <si>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</si>
  <si>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</si>
  <si>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</si>
  <si>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</si>
  <si>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</si>
  <si>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</si>
  <si>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</si>
  <si>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</si>
  <si>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</si>
  <si>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</si>
  <si>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</si>
  <si>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</si>
  <si>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</si>
  <si>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</si>
  <si>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</si>
  <si>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</si>
  <si>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</si>
  <si>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</si>
  <si>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</si>
  <si>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</si>
  <si>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</si>
  <si>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</si>
  <si>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</si>
  <si>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</si>
  <si>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</si>
  <si>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</si>
  <si>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</si>
  <si>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</si>
  <si>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</si>
  <si>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</si>
  <si>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</si>
  <si>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</si>
  <si>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</si>
  <si>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</si>
  <si>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</si>
  <si>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</si>
  <si>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</si>
  <si>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</si>
  <si>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</si>
  <si>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</si>
  <si>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</si>
  <si>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</si>
  <si>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</si>
  <si>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</si>
  <si>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</si>
  <si>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</si>
  <si>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</si>
  <si>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</si>
  <si>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</si>
  <si>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</si>
  <si>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</si>
  <si>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</si>
  <si>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</si>
  <si>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</si>
  <si>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</si>
  <si>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</si>
  <si>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</si>
  <si>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</si>
  <si>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</si>
  <si>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</si>
  <si>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</si>
  <si>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</si>
  <si>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</si>
  <si>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</si>
  <si>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</si>
  <si>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</si>
  <si>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</si>
  <si>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</si>
  <si>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</si>
  <si>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</si>
  <si>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</si>
  <si>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</si>
  <si>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</si>
  <si>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</si>
  <si>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</si>
  <si>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</si>
  <si>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</si>
  <si>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</si>
  <si>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</si>
  <si>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</si>
  <si>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</si>
  <si>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</si>
  <si>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</si>
  <si>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</si>
  <si>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</si>
  <si>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</si>
  <si>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</si>
  <si>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</si>
  <si>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</si>
  <si>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</si>
  <si>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</si>
  <si>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</si>
  <si>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</si>
  <si>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</si>
  <si>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</si>
  <si>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</si>
  <si>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</si>
  <si>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</si>
  <si>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</si>
  <si>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</si>
  <si>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</si>
  <si>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</si>
  <si>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</si>
  <si>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</si>
  <si>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</si>
  <si>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</si>
  <si>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</si>
  <si>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</si>
  <si>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</si>
  <si>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</si>
  <si>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</si>
  <si>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</si>
  <si>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</si>
  <si>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</si>
  <si>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</si>
  <si>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</si>
  <si>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</si>
  <si>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</si>
  <si>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</si>
  <si>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</si>
  <si>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</si>
  <si>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</si>
  <si>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</si>
  <si>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</si>
  <si>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</si>
  <si>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</si>
  <si>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</si>
  <si>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</si>
  <si>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</si>
  <si>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</si>
  <si>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</si>
  <si>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</si>
  <si>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</si>
  <si>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</si>
  <si>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</si>
  <si>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</si>
  <si>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</si>
  <si>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</si>
  <si>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</si>
  <si>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</si>
  <si>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</si>
  <si>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</si>
  <si>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</si>
  <si>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</si>
  <si>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</si>
  <si>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</si>
  <si>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</si>
  <si>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</si>
  <si>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</si>
  <si>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</si>
  <si>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</si>
  <si>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</si>
  <si>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</si>
  <si>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</si>
  <si>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</si>
  <si>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</si>
  <si>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</si>
  <si>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</si>
  <si>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</si>
  <si>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</si>
  <si>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</si>
  <si>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</si>
  <si>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</si>
  <si>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</si>
  <si>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</si>
  <si>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</si>
  <si>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</si>
  <si>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</si>
  <si>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</si>
  <si>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</si>
  <si>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</si>
  <si>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</si>
  <si>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</si>
  <si>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</si>
  <si>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</si>
  <si>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</si>
  <si>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</si>
  <si>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</si>
  <si>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</si>
  <si>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</si>
  <si>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</si>
  <si>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</si>
  <si>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</si>
  <si>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</si>
  <si>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</si>
  <si>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</si>
  <si>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</si>
  <si>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</si>
  <si>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</si>
  <si>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</si>
  <si>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</si>
  <si>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</si>
  <si>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</si>
  <si>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</si>
  <si>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</si>
  <si>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</si>
  <si>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</si>
  <si>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</si>
  <si>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</si>
  <si>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</si>
  <si>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</si>
  <si>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</si>
  <si>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</si>
  <si>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</si>
  <si>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</si>
  <si>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</si>
  <si>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</si>
  <si>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</si>
  <si>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</si>
  <si>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</si>
  <si>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</si>
  <si>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</si>
  <si>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</si>
  <si>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</si>
  <si>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</si>
  <si>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</si>
  <si>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</si>
  <si>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</si>
  <si>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</si>
  <si>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</si>
  <si>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</si>
  <si>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</si>
  <si>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</si>
  <si>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</si>
  <si>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</si>
  <si>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</si>
  <si>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</si>
  <si>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</si>
  <si>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</si>
  <si>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</si>
  <si>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</si>
  <si>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</si>
  <si>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</si>
  <si>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</si>
  <si>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</si>
  <si>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</si>
  <si>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</si>
  <si>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</si>
  <si>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</si>
  <si>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</si>
  <si>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</si>
  <si>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</si>
  <si>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</si>
  <si>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</si>
  <si>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</si>
  <si>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</si>
  <si>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</si>
  <si>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</si>
  <si>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</si>
  <si>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</si>
  <si>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</si>
  <si>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</si>
  <si>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</si>
  <si>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</si>
  <si>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</si>
  <si>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</si>
  <si>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</si>
  <si>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</si>
  <si>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</si>
  <si>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</si>
  <si>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</si>
  <si>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</si>
  <si>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</si>
  <si>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</si>
  <si>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</si>
  <si>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</si>
  <si>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</si>
  <si>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</si>
  <si>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</si>
  <si>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</si>
  <si>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</si>
  <si>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</si>
  <si>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</si>
  <si>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</si>
  <si>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</si>
  <si>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</si>
  <si>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</si>
  <si>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</si>
  <si>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</si>
  <si>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</si>
  <si>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</si>
  <si>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</si>
  <si>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</si>
  <si>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</si>
  <si>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</si>
  <si>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</si>
  <si>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</si>
  <si>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</si>
  <si>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</si>
  <si>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</si>
  <si>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</si>
  <si>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</si>
  <si>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</si>
  <si>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</si>
  <si>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</si>
  <si>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</si>
  <si>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</si>
  <si>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</si>
  <si>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</si>
  <si>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</si>
  <si>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</si>
  <si>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</si>
  <si>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</si>
  <si>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</si>
  <si>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</si>
  <si>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</si>
  <si>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</si>
  <si>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</si>
  <si>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</si>
  <si>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</si>
  <si>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</si>
  <si>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</si>
  <si>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</si>
  <si>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</si>
  <si>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</si>
  <si>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</si>
  <si>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</si>
  <si>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</si>
  <si>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</si>
  <si>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</si>
  <si>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</si>
  <si>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</si>
  <si>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</si>
  <si>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</si>
  <si>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</si>
  <si>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</si>
  <si>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</si>
  <si>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</si>
  <si>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</si>
  <si>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</si>
  <si>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</si>
  <si>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</si>
  <si>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</si>
  <si>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</si>
  <si>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</si>
  <si>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</si>
  <si>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</si>
  <si>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</si>
  <si>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</si>
  <si>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</si>
  <si>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</si>
  <si>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</si>
  <si>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</si>
  <si>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</si>
  <si>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</si>
  <si>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</si>
  <si>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</si>
  <si>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</si>
  <si>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</si>
  <si>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</si>
  <si>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</si>
  <si>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</si>
  <si>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</si>
  <si>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</si>
  <si>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</si>
  <si>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</si>
  <si>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</si>
  <si>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</si>
  <si>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</si>
  <si>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</si>
  <si>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</si>
  <si>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</si>
  <si>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</si>
  <si>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</si>
  <si>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</si>
  <si>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</si>
  <si>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</si>
  <si>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</si>
  <si>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</si>
  <si>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</si>
  <si>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</si>
  <si>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</si>
  <si>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</si>
  <si>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</si>
  <si>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</si>
  <si>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</si>
  <si>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</si>
  <si>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</si>
  <si>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</si>
  <si>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</si>
  <si>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</si>
  <si>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</si>
  <si>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</si>
  <si>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</si>
  <si>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</si>
  <si>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</si>
  <si>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</si>
  <si>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</si>
  <si>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</si>
  <si>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</si>
  <si>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</si>
  <si>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</si>
  <si>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</si>
  <si>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</si>
  <si>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</si>
  <si>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</si>
  <si>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</si>
  <si>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</si>
  <si>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</si>
  <si>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</si>
  <si>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</si>
  <si>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</si>
  <si>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</si>
  <si>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</si>
  <si>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</si>
  <si>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</si>
  <si>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</si>
  <si>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</si>
  <si>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</si>
  <si>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</si>
  <si>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</si>
  <si>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</si>
  <si>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</si>
  <si>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</si>
  <si>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</si>
  <si>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</si>
  <si>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</si>
  <si>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</si>
  <si>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</si>
  <si>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</si>
  <si>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</si>
  <si>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</si>
  <si>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</si>
  <si>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</si>
  <si>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</si>
  <si>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</si>
  <si>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</si>
  <si>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</si>
  <si>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</si>
  <si>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</si>
  <si>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</si>
  <si>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</si>
  <si>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</si>
  <si>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</si>
  <si>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</si>
  <si>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</si>
  <si>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</si>
  <si>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</si>
  <si>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</si>
  <si>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</si>
  <si>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</si>
  <si>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</si>
  <si>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</si>
  <si>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</si>
  <si>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</si>
  <si>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</si>
  <si>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</si>
  <si>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</si>
  <si>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</si>
  <si>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</si>
  <si>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</si>
  <si>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</si>
  <si>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</si>
  <si>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</si>
  <si>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</si>
  <si>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</si>
  <si>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</si>
  <si>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</si>
  <si>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</si>
  <si>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</si>
  <si>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</si>
  <si>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</si>
  <si>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</si>
  <si>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</si>
  <si>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</si>
  <si>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</si>
  <si>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</si>
  <si>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</si>
  <si>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</si>
  <si>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</si>
  <si>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</si>
  <si>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</si>
  <si>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</si>
  <si>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</si>
  <si>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</si>
  <si>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</si>
  <si>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</si>
  <si>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</si>
  <si>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</si>
  <si>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</si>
  <si>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</si>
  <si>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</si>
  <si>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</si>
  <si>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</si>
  <si>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</si>
  <si>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</si>
  <si>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</si>
  <si>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</si>
  <si>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</si>
  <si>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</si>
  <si>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</si>
  <si>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</si>
  <si>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</si>
  <si>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</si>
  <si>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</si>
  <si>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</si>
  <si>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</si>
  <si>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</si>
  <si>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</si>
  <si>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</si>
  <si>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</si>
  <si>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</si>
  <si>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</si>
  <si>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</si>
  <si>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</si>
  <si>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</si>
  <si>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</si>
  <si>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</si>
  <si>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</si>
  <si>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</si>
  <si>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</si>
  <si>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</si>
  <si>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</si>
  <si>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</si>
  <si>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</si>
  <si>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</si>
  <si>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</si>
  <si>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</si>
  <si>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</si>
  <si>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</si>
  <si>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</si>
  <si>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</si>
  <si>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</si>
  <si>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</si>
  <si>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</si>
  <si>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</si>
  <si>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</si>
  <si>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</si>
  <si>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</si>
  <si>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</si>
  <si>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</si>
  <si>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</si>
  <si>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</si>
  <si>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</si>
  <si>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</si>
  <si>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</si>
  <si>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</si>
  <si>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</si>
  <si>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</si>
  <si>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</si>
  <si>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</si>
  <si>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</si>
  <si>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</si>
  <si>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</si>
  <si>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</si>
  <si>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</si>
  <si>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</si>
  <si>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</si>
  <si>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</si>
  <si>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</si>
  <si>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</si>
  <si>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</si>
  <si>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</si>
  <si>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</si>
  <si>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</si>
  <si>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</si>
  <si>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</si>
  <si>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</si>
  <si>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</si>
  <si>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</si>
  <si>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</si>
  <si>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</si>
  <si>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</si>
  <si>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</si>
  <si>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</si>
  <si>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</si>
  <si>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</si>
  <si>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</si>
  <si>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</si>
  <si>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</si>
  <si>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</si>
  <si>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</si>
  <si>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</si>
  <si>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</si>
  <si>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</si>
  <si>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</si>
  <si>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</si>
  <si>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</si>
  <si>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</si>
  <si>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</si>
  <si>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</si>
  <si>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</si>
  <si>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</si>
  <si>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</si>
  <si>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</si>
  <si>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</si>
  <si>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</si>
  <si>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</si>
  <si>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</si>
  <si>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</si>
  <si>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</si>
  <si>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</si>
  <si>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</si>
  <si>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</si>
  <si>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</si>
  <si>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</si>
  <si>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</si>
  <si>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</si>
  <si>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</si>
  <si>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</si>
  <si>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</si>
  <si>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</si>
  <si>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</si>
  <si>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</si>
  <si>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</si>
  <si>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</si>
  <si>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</si>
  <si>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</si>
  <si>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</si>
  <si>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</si>
  <si>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</si>
  <si>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</si>
  <si>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</si>
  <si>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</si>
  <si>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</si>
  <si>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</si>
  <si>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</si>
  <si>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</si>
  <si>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</si>
  <si>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</si>
  <si>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</si>
  <si>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</si>
  <si>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</si>
  <si>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</si>
  <si>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</si>
  <si>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</si>
  <si>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</si>
  <si>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</si>
  <si>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</si>
  <si>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</si>
  <si>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</si>
  <si>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</si>
  <si>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</si>
  <si>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</si>
  <si>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</si>
  <si>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</si>
  <si>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</si>
  <si>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</si>
  <si>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</si>
  <si>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</si>
  <si>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</si>
  <si>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</si>
  <si>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</si>
  <si>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</si>
  <si>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</si>
  <si>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</si>
  <si>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</si>
  <si>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</si>
  <si>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</si>
  <si>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</si>
  <si>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</si>
  <si>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</si>
  <si>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</si>
  <si>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</si>
  <si>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</si>
  <si>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</si>
  <si>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</si>
  <si>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</si>
  <si>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</si>
  <si>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</si>
  <si>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</si>
  <si>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</si>
  <si>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</si>
  <si>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</si>
  <si>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</si>
  <si>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</si>
  <si>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</si>
  <si>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</si>
  <si>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</si>
  <si>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</si>
  <si>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</si>
  <si>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</si>
  <si>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</si>
  <si>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</si>
  <si>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</si>
  <si>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</si>
  <si>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</si>
  <si>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</si>
  <si>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</si>
  <si>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</si>
  <si>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</si>
  <si>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</si>
  <si>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</si>
  <si>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</si>
  <si>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</si>
  <si>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</si>
  <si>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</si>
  <si>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</si>
  <si>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</si>
  <si>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</si>
  <si>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</si>
  <si>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</si>
  <si>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</si>
  <si>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</si>
  <si>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</si>
  <si>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</si>
  <si>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</si>
  <si>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</si>
  <si>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</si>
  <si>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</si>
  <si>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</si>
  <si>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</si>
  <si>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</si>
  <si>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</si>
  <si>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</si>
  <si>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</si>
  <si>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</si>
  <si>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</si>
  <si>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</si>
  <si>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</si>
  <si>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</si>
  <si>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</si>
  <si>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</si>
  <si>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</si>
  <si>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</si>
  <si>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</si>
  <si>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</si>
  <si>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</si>
  <si>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</si>
  <si>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</si>
  <si>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</si>
  <si>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</si>
  <si>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</si>
  <si>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</si>
  <si>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</si>
  <si>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</si>
  <si>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</si>
  <si>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</si>
  <si>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</si>
  <si>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</si>
  <si>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</si>
  <si>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</si>
  <si>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</si>
  <si>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</si>
  <si>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</si>
  <si>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</si>
  <si>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</si>
  <si>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</si>
  <si>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</si>
  <si>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</si>
  <si>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</si>
  <si>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</si>
  <si>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</si>
  <si>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</si>
  <si>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</si>
  <si>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</si>
  <si>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</si>
  <si>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</si>
  <si>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</si>
  <si>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</si>
  <si>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</si>
  <si>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</si>
  <si>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</si>
  <si>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</si>
  <si>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</si>
  <si>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</si>
  <si>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</si>
  <si>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</si>
  <si>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</si>
  <si>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</si>
  <si>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</si>
  <si>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</si>
  <si>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</si>
  <si>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</si>
  <si>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</si>
  <si>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</si>
  <si>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</si>
  <si>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</si>
  <si>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</si>
  <si>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</si>
  <si>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</si>
  <si>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</si>
  <si>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</si>
  <si>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</si>
  <si>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</si>
  <si>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</si>
  <si>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</si>
  <si>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</si>
  <si>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</si>
  <si>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</si>
  <si>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</si>
  <si>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</si>
  <si>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</si>
  <si>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</si>
  <si>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</si>
  <si>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</si>
  <si>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</si>
  <si>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</si>
  <si>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</si>
  <si>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</si>
  <si>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</si>
  <si>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</si>
  <si>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</si>
  <si>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</si>
  <si>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</si>
  <si>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</si>
  <si>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</si>
  <si>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</si>
  <si>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</si>
  <si>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</si>
  <si>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</si>
  <si>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</si>
  <si>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</si>
  <si>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</si>
  <si>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</si>
  <si>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</si>
  <si>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</si>
  <si>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</si>
  <si>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</si>
  <si>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</si>
  <si>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</si>
  <si>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</si>
  <si>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</si>
  <si>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</si>
  <si>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</si>
  <si>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</si>
  <si>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</si>
  <si>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</si>
  <si>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</si>
  <si>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</si>
  <si>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</si>
  <si>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</si>
  <si>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</si>
  <si>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</si>
  <si>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</si>
  <si>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</si>
  <si>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</si>
  <si>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</si>
  <si>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</si>
  <si>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</si>
  <si>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</si>
  <si>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</si>
  <si>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</si>
  <si>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</si>
  <si>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</si>
  <si>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</si>
  <si>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</si>
  <si>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</si>
  <si>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</si>
  <si>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</si>
  <si>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</si>
  <si>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</si>
  <si>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</si>
  <si>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</si>
  <si>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</si>
  <si>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</si>
  <si>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</si>
  <si>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</si>
  <si>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</si>
  <si>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</si>
  <si>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</si>
  <si>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</si>
  <si>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</si>
  <si>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</si>
  <si>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</si>
  <si>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</si>
  <si>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</si>
  <si>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</si>
  <si>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</si>
  <si>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</si>
  <si>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</si>
  <si>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</si>
  <si>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</si>
  <si>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</si>
  <si>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</si>
  <si>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</si>
  <si>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</si>
  <si>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</si>
  <si>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</si>
  <si>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</si>
  <si>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</si>
  <si>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</si>
  <si>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</si>
  <si>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</si>
  <si>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</si>
  <si>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</si>
  <si>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</si>
  <si>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</si>
  <si>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</si>
  <si>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</si>
  <si>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</si>
  <si>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</si>
  <si>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</si>
  <si>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</si>
  <si>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</si>
  <si>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</si>
  <si>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</si>
  <si>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</si>
  <si>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</si>
  <si>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</si>
  <si>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</si>
  <si>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</si>
  <si>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</si>
  <si>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</si>
  <si>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</si>
  <si>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</si>
  <si>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</si>
  <si>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</si>
  <si>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</si>
  <si>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</si>
  <si>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</si>
  <si>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</si>
  <si>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</si>
  <si>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</si>
  <si>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</si>
  <si>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</si>
  <si>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</si>
  <si>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</si>
  <si>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</si>
  <si>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</si>
  <si>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</si>
  <si>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</si>
  <si>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</si>
  <si>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</si>
  <si>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</si>
  <si>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</si>
  <si>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</si>
  <si>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</si>
  <si>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</si>
  <si>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</si>
  <si>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</si>
  <si>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</si>
  <si>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</si>
  <si>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</si>
  <si>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</si>
  <si>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</si>
  <si>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</si>
  <si>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</si>
  <si>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</si>
  <si>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</si>
  <si>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</si>
  <si>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</si>
  <si>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</si>
  <si>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</si>
  <si>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</si>
  <si>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</si>
  <si>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</si>
  <si>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</si>
  <si>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</si>
  <si>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</si>
  <si>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</si>
  <si>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</si>
  <si>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</si>
  <si>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</si>
  <si>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</si>
  <si>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</si>
  <si>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</si>
  <si>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</si>
  <si>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</si>
  <si>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</si>
  <si>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</si>
  <si>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</si>
  <si>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</si>
  <si>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</si>
  <si>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</si>
  <si>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</si>
  <si>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</si>
  <si>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</si>
  <si>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</si>
  <si>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</si>
  <si>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</si>
  <si>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</si>
  <si>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</si>
  <si>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</si>
  <si>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</si>
  <si>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</si>
  <si>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</si>
  <si>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</si>
  <si>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</si>
  <si>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</si>
  <si>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</si>
  <si>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</si>
  <si>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</si>
  <si>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</si>
  <si>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</si>
  <si>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</si>
  <si>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</si>
  <si>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</si>
  <si>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</si>
  <si>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</si>
  <si>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</si>
  <si>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</si>
  <si>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</si>
  <si>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</si>
  <si>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</si>
  <si>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</si>
  <si>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</si>
  <si>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</si>
  <si>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</si>
  <si>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</si>
  <si>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</si>
  <si>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</si>
  <si>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</si>
  <si>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</si>
  <si>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</si>
  <si>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</si>
  <si>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</si>
  <si>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</si>
  <si>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</si>
  <si>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</si>
  <si>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</si>
  <si>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</si>
  <si>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</si>
  <si>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</si>
  <si>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</si>
  <si>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</si>
  <si>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</si>
  <si>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</si>
  <si>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</si>
  <si>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</si>
  <si>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</si>
  <si>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</si>
  <si>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</si>
  <si>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</si>
  <si>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</si>
  <si>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</si>
  <si>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</si>
  <si>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</si>
  <si>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</si>
  <si>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</si>
  <si>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</si>
  <si>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</si>
  <si>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</si>
  <si>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</si>
  <si>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</si>
  <si>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</si>
  <si>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</si>
  <si>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</si>
  <si>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</si>
  <si>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</si>
  <si>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</si>
  <si>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</si>
  <si>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</si>
  <si>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</si>
  <si>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</si>
  <si>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</si>
  <si>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</si>
  <si>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</si>
  <si>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</si>
  <si>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</si>
  <si>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</si>
  <si>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</si>
  <si>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</si>
  <si>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</si>
  <si>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</si>
  <si>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</si>
  <si>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</si>
  <si>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</si>
  <si>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</si>
  <si>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</si>
  <si>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</si>
  <si>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</si>
  <si>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</si>
  <si>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</si>
  <si>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</si>
  <si>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</si>
  <si>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</si>
  <si>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</si>
  <si>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</si>
  <si>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</si>
  <si>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</si>
  <si>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</si>
  <si>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</si>
  <si>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</si>
  <si>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</si>
  <si>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</si>
  <si>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</si>
  <si>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</si>
  <si>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</si>
  <si>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</si>
  <si>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</si>
  <si>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</si>
  <si>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</si>
  <si>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</si>
  <si>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</si>
  <si>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</si>
  <si>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</si>
  <si>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</si>
  <si>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</si>
  <si>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</si>
  <si>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</si>
  <si>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</si>
  <si>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</si>
  <si>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</si>
  <si>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</si>
  <si>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</si>
  <si>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</si>
  <si>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</si>
  <si>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</si>
  <si>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</si>
  <si>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</si>
  <si>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</si>
  <si>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</si>
  <si>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</si>
  <si>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</si>
  <si>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</si>
  <si>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</si>
  <si>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</si>
  <si>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</si>
  <si>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</si>
  <si>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</si>
  <si>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</si>
  <si>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</si>
  <si>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</si>
  <si>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</si>
  <si>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</si>
  <si>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</si>
  <si>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</si>
  <si>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</si>
  <si>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</si>
  <si>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</si>
  <si>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</si>
  <si>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</si>
  <si>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</si>
  <si>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</si>
  <si>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</si>
  <si>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</si>
  <si>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</si>
  <si>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</si>
  <si>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</si>
  <si>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</si>
  <si>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</si>
  <si>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</si>
  <si>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</si>
  <si>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</si>
  <si>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</si>
  <si>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</si>
  <si>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</si>
  <si>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</si>
  <si>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</si>
  <si>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</si>
  <si>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</si>
  <si>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</si>
  <si>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</si>
  <si>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</si>
  <si>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</si>
  <si>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</si>
  <si>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</si>
  <si>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</si>
  <si>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</si>
  <si>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</si>
  <si>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</si>
  <si>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</si>
  <si>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</si>
  <si>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</si>
  <si>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</si>
  <si>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</si>
  <si>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</si>
  <si>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</si>
  <si>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</si>
  <si>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</si>
  <si>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</si>
  <si>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</si>
  <si>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</si>
  <si>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</si>
  <si>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</si>
  <si>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</si>
  <si>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</si>
  <si>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</si>
  <si>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</si>
  <si>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</si>
  <si>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</si>
  <si>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</si>
  <si>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</si>
  <si>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</si>
  <si>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</si>
  <si>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</si>
  <si>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</si>
  <si>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</si>
  <si>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</si>
  <si>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</si>
  <si>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</si>
  <si>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</si>
  <si>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</si>
  <si>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</si>
  <si>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</si>
  <si>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</si>
  <si>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</si>
  <si>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</si>
  <si>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</si>
  <si>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</si>
  <si>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</si>
  <si>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</si>
  <si>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</si>
  <si>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</si>
  <si>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</si>
  <si>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</si>
  <si>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</si>
  <si>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</si>
  <si>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</si>
  <si>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</si>
  <si>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</si>
  <si>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</si>
  <si>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</si>
  <si>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</si>
  <si>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</si>
  <si>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</si>
  <si>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</si>
  <si>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</si>
  <si>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</si>
  <si>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</si>
  <si>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</si>
  <si>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</si>
  <si>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</si>
  <si>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</si>
  <si>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</si>
  <si>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</si>
  <si>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</si>
  <si>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</si>
  <si>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</si>
  <si>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</si>
  <si>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</si>
  <si>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</si>
  <si>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</si>
  <si>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</si>
  <si>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</si>
  <si>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</si>
  <si>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</si>
  <si>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</si>
  <si>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</si>
  <si>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</si>
  <si>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</si>
  <si>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</si>
  <si>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</si>
  <si>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</si>
  <si>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</si>
  <si>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</si>
  <si>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</si>
  <si>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</si>
  <si>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</si>
  <si>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</si>
  <si>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</si>
  <si>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</si>
  <si>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</si>
  <si>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</si>
  <si>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</si>
  <si>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</si>
  <si>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</si>
  <si>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</si>
  <si>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</si>
  <si>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</si>
  <si>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</si>
  <si>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</si>
  <si>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</si>
  <si>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</si>
  <si>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</si>
  <si>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</si>
  <si>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</si>
  <si>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</si>
  <si>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</si>
  <si>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</si>
  <si>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</si>
  <si>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</si>
  <si>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</si>
  <si>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</si>
  <si>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</si>
  <si>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</si>
  <si>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</si>
  <si>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</si>
  <si>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</si>
  <si>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</si>
  <si>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</si>
  <si>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</si>
  <si>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</si>
  <si>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</si>
  <si>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</si>
  <si>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</si>
  <si>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</si>
  <si>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</si>
  <si>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</si>
  <si>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</si>
  <si>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</si>
  <si>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</si>
  <si>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</si>
  <si>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</si>
  <si>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</si>
  <si>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</si>
  <si>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</si>
  <si>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</si>
  <si>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</si>
  <si>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</si>
  <si>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</si>
  <si>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</si>
  <si>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</si>
  <si>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</si>
  <si>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</si>
  <si>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</si>
  <si>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</si>
  <si>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</si>
  <si>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</si>
  <si>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Версия: 29.05.2017.011</t>
  </si>
  <si>
    <t>Новосибирская обл., г. Бердск, Микрорайон 68</t>
  </si>
  <si>
    <t>дерево, спаренный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</si>
</sst>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
    <numFmt numFmtId="167" formatCode="0.000000"/>
    <numFmt numFmtId="168" formatCode="0.000%"/>
    <numFmt numFmtId="169" formatCode="0.0%"/>
    <numFmt numFmtId="170" formatCode="0.0000"/>
    <numFmt numFmtId="171" formatCode="#&quot; &quot;?/8"/>
    <numFmt numFmtId="172" formatCode="#,##0.00&quot;р.&quot;"/>
  </numFmts>
  <fonts count="15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cellStyleXfs>
  <cellXfs count="1889">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69"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5"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5" fontId="0" fillId="0" borderId="0" xfId="0" applyNumberFormat="1" applyProtection="1">
      <protection hidden="1"/>
    </xf>
    <xf numFmtId="170"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6"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6"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6"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6"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43" fontId="47" fillId="0" borderId="4" xfId="8" applyFont="1" applyFill="1" applyBorder="1" applyAlignment="1" applyProtection="1">
      <alignment vertical="center" wrapText="1"/>
      <protection hidden="1"/>
    </xf>
    <xf numFmtId="170"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6" fontId="80" fillId="0" borderId="0" xfId="0" applyNumberFormat="1" applyFont="1" applyProtection="1">
      <protection hidden="1"/>
    </xf>
    <xf numFmtId="166"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5"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5"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5" fontId="30" fillId="36" borderId="4" xfId="0" applyNumberFormat="1" applyFont="1" applyFill="1" applyBorder="1" applyProtection="1">
      <protection hidden="1"/>
    </xf>
    <xf numFmtId="169"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5" fontId="0" fillId="0" borderId="4" xfId="0" applyNumberFormat="1" applyBorder="1" applyAlignment="1" applyProtection="1">
      <alignment vertical="center"/>
      <protection hidden="1"/>
    </xf>
    <xf numFmtId="165"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5" fontId="7" fillId="5" borderId="47" xfId="0" applyNumberFormat="1" applyFont="1" applyFill="1" applyBorder="1" applyAlignment="1" applyProtection="1">
      <alignment vertical="center"/>
      <protection hidden="1"/>
    </xf>
    <xf numFmtId="165" fontId="7" fillId="29" borderId="85" xfId="0" applyNumberFormat="1" applyFont="1" applyFill="1" applyBorder="1" applyAlignment="1" applyProtection="1">
      <alignment vertical="center"/>
      <protection hidden="1"/>
    </xf>
    <xf numFmtId="165"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5" fontId="0" fillId="29" borderId="91" xfId="0" applyNumberFormat="1" applyFill="1" applyBorder="1" applyAlignment="1" applyProtection="1">
      <alignment vertical="center"/>
      <protection hidden="1"/>
    </xf>
    <xf numFmtId="165" fontId="0" fillId="5" borderId="47" xfId="0" applyNumberFormat="1" applyFill="1" applyBorder="1" applyAlignment="1" applyProtection="1">
      <alignment vertical="center"/>
      <protection hidden="1"/>
    </xf>
    <xf numFmtId="165"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5"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5"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6"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6" fontId="0" fillId="0" borderId="71" xfId="0" applyNumberFormat="1" applyBorder="1" applyAlignment="1" applyProtection="1">
      <alignment vertical="center"/>
      <protection hidden="1"/>
    </xf>
    <xf numFmtId="166"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6"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5"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5"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5"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6" fontId="0" fillId="0" borderId="4" xfId="0" applyNumberFormat="1" applyFont="1" applyBorder="1" applyAlignment="1" applyProtection="1">
      <alignment vertical="center"/>
      <protection hidden="1"/>
    </xf>
    <xf numFmtId="166"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5"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7"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5"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6"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6"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6"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6" fontId="0" fillId="0" borderId="4" xfId="0" applyNumberFormat="1" applyFill="1" applyBorder="1" applyProtection="1">
      <protection hidden="1"/>
    </xf>
    <xf numFmtId="166" fontId="70" fillId="0" borderId="4" xfId="6" applyNumberFormat="1" applyFont="1" applyFill="1" applyBorder="1" applyProtection="1">
      <protection hidden="1"/>
    </xf>
    <xf numFmtId="166"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8"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6" fontId="0" fillId="21" borderId="4" xfId="0" applyNumberFormat="1" applyFont="1" applyFill="1" applyBorder="1" applyProtection="1">
      <protection hidden="1"/>
    </xf>
    <xf numFmtId="165" fontId="0" fillId="21" borderId="4" xfId="0" applyNumberFormat="1" applyFont="1" applyFill="1" applyBorder="1" applyProtection="1">
      <protection hidden="1"/>
    </xf>
    <xf numFmtId="166"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5" fontId="0" fillId="0" borderId="28" xfId="0" applyNumberFormat="1" applyBorder="1" applyAlignment="1" applyProtection="1">
      <alignment vertical="center"/>
      <protection hidden="1"/>
    </xf>
    <xf numFmtId="0" fontId="0" fillId="0" borderId="50" xfId="0" applyBorder="1" applyProtection="1">
      <protection hidden="1"/>
    </xf>
    <xf numFmtId="165" fontId="0" fillId="0" borderId="51" xfId="0" applyNumberFormat="1" applyBorder="1" applyAlignment="1" applyProtection="1">
      <alignment vertical="center"/>
      <protection hidden="1"/>
    </xf>
    <xf numFmtId="165"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5" fontId="0" fillId="0" borderId="51" xfId="0" applyNumberFormat="1" applyBorder="1" applyAlignment="1" applyProtection="1">
      <alignment horizontal="right" vertical="center"/>
      <protection hidden="1"/>
    </xf>
    <xf numFmtId="0" fontId="0" fillId="0" borderId="70" xfId="0" applyBorder="1" applyProtection="1">
      <protection hidden="1"/>
    </xf>
    <xf numFmtId="165" fontId="0" fillId="0" borderId="71" xfId="0" applyNumberFormat="1" applyBorder="1" applyAlignment="1" applyProtection="1">
      <alignment horizontal="right"/>
      <protection hidden="1"/>
    </xf>
    <xf numFmtId="0" fontId="0" fillId="0" borderId="52" xfId="0" applyBorder="1" applyProtection="1">
      <protection hidden="1"/>
    </xf>
    <xf numFmtId="165" fontId="0" fillId="0" borderId="53" xfId="0" applyNumberFormat="1" applyBorder="1" applyAlignment="1" applyProtection="1">
      <alignment horizontal="right"/>
      <protection hidden="1"/>
    </xf>
    <xf numFmtId="165" fontId="0" fillId="0" borderId="54" xfId="0" applyNumberFormat="1" applyBorder="1" applyAlignment="1" applyProtection="1">
      <alignment horizontal="right"/>
      <protection hidden="1"/>
    </xf>
    <xf numFmtId="165" fontId="0" fillId="0" borderId="61" xfId="0" applyNumberFormat="1" applyBorder="1" applyAlignment="1" applyProtection="1">
      <alignment horizontal="right"/>
      <protection hidden="1"/>
    </xf>
    <xf numFmtId="165"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5" fontId="0" fillId="0" borderId="53" xfId="0" applyNumberFormat="1" applyBorder="1" applyAlignment="1" applyProtection="1">
      <alignment horizontal="right" vertical="center"/>
      <protection hidden="1"/>
    </xf>
    <xf numFmtId="165"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5"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5" fontId="0" fillId="0" borderId="4" xfId="0" applyNumberFormat="1" applyFill="1" applyBorder="1" applyProtection="1">
      <protection hidden="1"/>
    </xf>
    <xf numFmtId="165" fontId="0" fillId="0" borderId="28" xfId="0" applyNumberFormat="1" applyBorder="1" applyProtection="1">
      <protection hidden="1"/>
    </xf>
    <xf numFmtId="165"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5" fontId="7" fillId="29" borderId="68" xfId="0" applyNumberFormat="1" applyFont="1" applyFill="1" applyBorder="1" applyAlignment="1" applyProtection="1">
      <alignment vertical="center"/>
      <protection hidden="1"/>
    </xf>
    <xf numFmtId="165"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5"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5" fontId="0" fillId="29" borderId="68" xfId="0" applyNumberFormat="1" applyFill="1" applyBorder="1" applyAlignment="1" applyProtection="1">
      <alignment vertical="center"/>
      <protection hidden="1"/>
    </xf>
    <xf numFmtId="165" fontId="0" fillId="29" borderId="78" xfId="0" applyNumberFormat="1" applyFill="1" applyBorder="1" applyAlignment="1" applyProtection="1">
      <alignment horizontal="right" vertical="center"/>
      <protection hidden="1"/>
    </xf>
    <xf numFmtId="165" fontId="0" fillId="5" borderId="49" xfId="0" applyNumberFormat="1" applyFill="1" applyBorder="1" applyAlignment="1" applyProtection="1">
      <alignment horizontal="right" vertical="center"/>
      <protection hidden="1"/>
    </xf>
    <xf numFmtId="165" fontId="0" fillId="5" borderId="66" xfId="0" applyNumberFormat="1" applyFill="1" applyBorder="1" applyAlignment="1" applyProtection="1">
      <alignment horizontal="right" vertical="center"/>
      <protection hidden="1"/>
    </xf>
    <xf numFmtId="165" fontId="0" fillId="5" borderId="59" xfId="0" applyNumberFormat="1" applyFill="1" applyBorder="1" applyAlignment="1" applyProtection="1">
      <alignment horizontal="right" vertical="center"/>
      <protection hidden="1"/>
    </xf>
    <xf numFmtId="165" fontId="0" fillId="5" borderId="48" xfId="0" applyNumberFormat="1" applyFont="1" applyFill="1" applyBorder="1" applyAlignment="1" applyProtection="1">
      <alignment horizontal="right" vertical="center"/>
      <protection hidden="1"/>
    </xf>
    <xf numFmtId="165"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5" fontId="0" fillId="0" borderId="4" xfId="0" applyNumberFormat="1" applyFont="1" applyFill="1" applyBorder="1" applyAlignment="1" applyProtection="1">
      <alignment horizontal="right" vertical="center"/>
      <protection hidden="1"/>
    </xf>
    <xf numFmtId="165"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5" fontId="7" fillId="5" borderId="48" xfId="0" applyNumberFormat="1" applyFont="1" applyFill="1" applyBorder="1" applyAlignment="1" applyProtection="1">
      <alignment horizontal="right" vertical="center"/>
      <protection hidden="1"/>
    </xf>
    <xf numFmtId="165"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5" fontId="0" fillId="0" borderId="4" xfId="0" applyNumberFormat="1" applyFont="1" applyBorder="1" applyAlignment="1" applyProtection="1">
      <alignment horizontal="right"/>
      <protection hidden="1"/>
    </xf>
    <xf numFmtId="165"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5"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5"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5"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5"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5" fontId="0" fillId="0" borderId="70" xfId="0" applyNumberFormat="1" applyBorder="1" applyProtection="1">
      <protection hidden="1"/>
    </xf>
    <xf numFmtId="165" fontId="0" fillId="0" borderId="71" xfId="0" applyNumberFormat="1" applyBorder="1" applyProtection="1">
      <protection hidden="1"/>
    </xf>
    <xf numFmtId="165" fontId="0" fillId="0" borderId="74" xfId="0" applyNumberFormat="1" applyFill="1" applyBorder="1" applyAlignment="1" applyProtection="1">
      <alignment vertical="center"/>
      <protection hidden="1"/>
    </xf>
    <xf numFmtId="165" fontId="0" fillId="0" borderId="53" xfId="0" applyNumberFormat="1" applyFill="1" applyBorder="1" applyAlignment="1" applyProtection="1">
      <alignment vertical="center"/>
      <protection hidden="1"/>
    </xf>
    <xf numFmtId="165"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5" fontId="0" fillId="5" borderId="48" xfId="0" applyNumberFormat="1" applyFill="1" applyBorder="1" applyAlignment="1" applyProtection="1">
      <alignment horizontal="right" vertical="center"/>
      <protection hidden="1"/>
    </xf>
    <xf numFmtId="165"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right" vertical="center"/>
      <protection hidden="1"/>
    </xf>
    <xf numFmtId="165"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5" fontId="0" fillId="0" borderId="51" xfId="0" applyNumberFormat="1" applyFill="1" applyBorder="1" applyAlignment="1" applyProtection="1">
      <alignment horizontal="right" vertical="center" indent="2"/>
      <protection hidden="1"/>
    </xf>
    <xf numFmtId="165" fontId="0" fillId="0" borderId="69" xfId="0" applyNumberFormat="1" applyBorder="1" applyAlignment="1" applyProtection="1">
      <alignment horizontal="right" vertical="center"/>
      <protection hidden="1"/>
    </xf>
    <xf numFmtId="165" fontId="0" fillId="0" borderId="54" xfId="0" applyNumberFormat="1" applyFill="1" applyBorder="1" applyAlignment="1" applyProtection="1">
      <alignment horizontal="right" vertical="center"/>
      <protection hidden="1"/>
    </xf>
    <xf numFmtId="165"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5" fontId="7" fillId="29" borderId="87" xfId="0" applyNumberFormat="1" applyFont="1" applyFill="1" applyBorder="1" applyAlignment="1" applyProtection="1">
      <alignment vertical="center"/>
      <protection hidden="1"/>
    </xf>
    <xf numFmtId="165"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6"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5"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5"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5" fontId="0" fillId="0" borderId="11" xfId="0" applyNumberFormat="1" applyFont="1" applyBorder="1" applyAlignment="1" applyProtection="1">
      <alignment vertical="center"/>
      <protection hidden="1"/>
    </xf>
    <xf numFmtId="165" fontId="0" fillId="0" borderId="9" xfId="0" applyNumberFormat="1" applyBorder="1" applyProtection="1">
      <protection hidden="1"/>
    </xf>
    <xf numFmtId="165"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5"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5"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5" fontId="7" fillId="0" borderId="82" xfId="0" applyNumberFormat="1" applyFont="1" applyBorder="1" applyProtection="1">
      <protection hidden="1"/>
    </xf>
    <xf numFmtId="165" fontId="7" fillId="0" borderId="83" xfId="0" applyNumberFormat="1" applyFont="1" applyBorder="1" applyProtection="1">
      <protection hidden="1"/>
    </xf>
    <xf numFmtId="165" fontId="0" fillId="0" borderId="29" xfId="0" applyNumberFormat="1" applyBorder="1" applyProtection="1">
      <protection hidden="1"/>
    </xf>
    <xf numFmtId="165" fontId="0" fillId="0" borderId="83" xfId="0" applyNumberFormat="1" applyBorder="1" applyAlignment="1" applyProtection="1">
      <alignment vertical="center"/>
      <protection hidden="1"/>
    </xf>
    <xf numFmtId="165"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5" fontId="0" fillId="0" borderId="86" xfId="0" applyNumberFormat="1" applyFont="1" applyBorder="1" applyAlignment="1" applyProtection="1">
      <alignment vertical="center"/>
      <protection hidden="1"/>
    </xf>
    <xf numFmtId="0" fontId="0" fillId="0" borderId="47" xfId="0" applyBorder="1" applyProtection="1">
      <protection hidden="1"/>
    </xf>
    <xf numFmtId="165" fontId="0" fillId="0" borderId="59" xfId="0" applyNumberFormat="1" applyBorder="1" applyAlignment="1" applyProtection="1">
      <alignment vertical="center"/>
      <protection hidden="1"/>
    </xf>
    <xf numFmtId="165" fontId="0" fillId="0" borderId="76" xfId="0" applyNumberFormat="1" applyBorder="1" applyAlignment="1" applyProtection="1">
      <alignment vertical="center"/>
      <protection hidden="1"/>
    </xf>
    <xf numFmtId="165" fontId="0" fillId="0" borderId="72" xfId="0" applyNumberFormat="1" applyFont="1" applyBorder="1" applyProtection="1">
      <protection hidden="1"/>
    </xf>
    <xf numFmtId="2" fontId="0" fillId="0" borderId="54" xfId="0" applyNumberFormat="1" applyBorder="1" applyProtection="1">
      <protection hidden="1"/>
    </xf>
    <xf numFmtId="165" fontId="0" fillId="0" borderId="91" xfId="0" applyNumberFormat="1" applyFont="1" applyBorder="1" applyAlignment="1" applyProtection="1">
      <alignment vertical="center"/>
      <protection hidden="1"/>
    </xf>
    <xf numFmtId="165" fontId="0" fillId="0" borderId="69" xfId="0" applyNumberFormat="1" applyFont="1" applyBorder="1" applyAlignment="1" applyProtection="1">
      <alignment vertical="center"/>
      <protection hidden="1"/>
    </xf>
    <xf numFmtId="166" fontId="0" fillId="0" borderId="91" xfId="0" applyNumberFormat="1" applyFont="1" applyBorder="1" applyProtection="1">
      <protection hidden="1"/>
    </xf>
    <xf numFmtId="166"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5"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5"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5"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5"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5"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5" fontId="0" fillId="10" borderId="4" xfId="0" applyNumberFormat="1" applyFill="1" applyBorder="1" applyProtection="1">
      <protection hidden="1"/>
    </xf>
    <xf numFmtId="166"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6" fontId="29" fillId="0" borderId="4" xfId="6" applyNumberFormat="1" applyFont="1" applyFill="1" applyBorder="1" applyProtection="1">
      <protection hidden="1"/>
    </xf>
    <xf numFmtId="166"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5"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4"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5"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5" fontId="2" fillId="18" borderId="4" xfId="2" applyNumberFormat="1" applyFill="1" applyBorder="1" applyProtection="1">
      <protection hidden="1"/>
    </xf>
    <xf numFmtId="165" fontId="2" fillId="10" borderId="4" xfId="2" applyNumberFormat="1" applyFill="1" applyBorder="1" applyProtection="1">
      <protection hidden="1"/>
    </xf>
    <xf numFmtId="165" fontId="2" fillId="8" borderId="4" xfId="2" applyNumberFormat="1" applyFill="1" applyBorder="1" applyProtection="1">
      <protection hidden="1"/>
    </xf>
    <xf numFmtId="165" fontId="2" fillId="5" borderId="4" xfId="2" applyNumberFormat="1" applyFill="1" applyBorder="1" applyProtection="1">
      <protection hidden="1"/>
    </xf>
    <xf numFmtId="165" fontId="2" fillId="7" borderId="4" xfId="2" applyNumberFormat="1" applyFill="1" applyBorder="1" applyProtection="1">
      <protection hidden="1"/>
    </xf>
    <xf numFmtId="165" fontId="2" fillId="9" borderId="4" xfId="2" applyNumberFormat="1" applyFill="1" applyBorder="1" applyProtection="1">
      <protection hidden="1"/>
    </xf>
    <xf numFmtId="165" fontId="2" fillId="11" borderId="4" xfId="2" applyNumberFormat="1" applyFill="1" applyBorder="1" applyProtection="1">
      <protection hidden="1"/>
    </xf>
    <xf numFmtId="165" fontId="2" fillId="12" borderId="4" xfId="2" applyNumberFormat="1" applyFill="1" applyBorder="1" applyProtection="1">
      <protection hidden="1"/>
    </xf>
    <xf numFmtId="165" fontId="2" fillId="15" borderId="4" xfId="2" applyNumberFormat="1" applyFill="1" applyBorder="1" applyProtection="1">
      <protection hidden="1"/>
    </xf>
    <xf numFmtId="165"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6" fontId="0" fillId="36" borderId="4" xfId="0" applyNumberFormat="1" applyFont="1" applyFill="1" applyBorder="1" applyAlignment="1" applyProtection="1">
      <alignment horizontal="right" wrapText="1"/>
      <protection hidden="1"/>
    </xf>
    <xf numFmtId="166" fontId="0" fillId="36" borderId="4" xfId="0" applyNumberFormat="1" applyFont="1" applyFill="1" applyBorder="1" applyAlignment="1" applyProtection="1">
      <alignment horizontal="left" wrapText="1"/>
      <protection hidden="1"/>
    </xf>
    <xf numFmtId="166"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6"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6" fontId="0" fillId="36" borderId="11" xfId="0" applyNumberFormat="1" applyFont="1" applyFill="1" applyBorder="1" applyAlignment="1" applyProtection="1">
      <alignment horizontal="left" wrapText="1"/>
      <protection hidden="1"/>
    </xf>
    <xf numFmtId="166"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6" fontId="0" fillId="36" borderId="53" xfId="0" applyNumberFormat="1" applyFont="1" applyFill="1" applyBorder="1" applyAlignment="1" applyProtection="1">
      <alignment horizontal="left" wrapText="1"/>
      <protection hidden="1"/>
    </xf>
    <xf numFmtId="166"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6" fontId="0" fillId="0" borderId="4" xfId="0" applyNumberFormat="1" applyBorder="1" applyProtection="1">
      <protection hidden="1"/>
    </xf>
    <xf numFmtId="0" fontId="44" fillId="0" borderId="0" xfId="0" applyFont="1" applyProtection="1">
      <protection hidden="1"/>
    </xf>
    <xf numFmtId="166"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69"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69"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5"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5" fontId="0" fillId="5" borderId="11" xfId="0" applyNumberFormat="1" applyFill="1" applyBorder="1" applyAlignment="1">
      <alignment horizontal="center" vertical="center"/>
    </xf>
    <xf numFmtId="165" fontId="120" fillId="0" borderId="4" xfId="0" applyNumberFormat="1" applyFont="1" applyBorder="1" applyAlignment="1" applyProtection="1">
      <alignment horizontal="center" vertical="center" wrapText="1"/>
      <protection locked="0"/>
    </xf>
    <xf numFmtId="165" fontId="120" fillId="0" borderId="4" xfId="0" applyNumberFormat="1" applyFont="1" applyBorder="1" applyAlignment="1" applyProtection="1">
      <alignment horizontal="center" vertical="center"/>
      <protection locked="0"/>
    </xf>
    <xf numFmtId="165" fontId="118" fillId="0" borderId="5" xfId="0" applyNumberFormat="1" applyFont="1" applyBorder="1" applyAlignment="1" applyProtection="1">
      <alignment horizontal="center" vertical="center"/>
      <protection locked="0"/>
    </xf>
    <xf numFmtId="165" fontId="118" fillId="0" borderId="4" xfId="0" applyNumberFormat="1" applyFont="1" applyBorder="1" applyAlignment="1" applyProtection="1">
      <alignment horizontal="center" vertical="center" wrapText="1"/>
      <protection locked="0"/>
    </xf>
    <xf numFmtId="0" fontId="123" fillId="20" borderId="0" xfId="0" applyFont="1" applyFill="1"/>
    <xf numFmtId="165"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2"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69"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5"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6" fontId="0" fillId="29" borderId="100" xfId="0" applyNumberFormat="1" applyFill="1" applyBorder="1" applyAlignment="1" applyProtection="1">
      <alignment horizontal="center" vertical="center"/>
      <protection hidden="1"/>
    </xf>
    <xf numFmtId="165" fontId="0" fillId="29" borderId="100" xfId="0" applyNumberFormat="1" applyFill="1" applyBorder="1" applyProtection="1">
      <protection hidden="1"/>
    </xf>
    <xf numFmtId="166" fontId="0" fillId="29" borderId="104" xfId="0" applyNumberFormat="1" applyFill="1" applyBorder="1" applyAlignment="1" applyProtection="1">
      <alignment horizontal="center" vertical="center"/>
      <protection hidden="1"/>
    </xf>
    <xf numFmtId="165" fontId="0" fillId="29" borderId="104" xfId="0" applyNumberFormat="1" applyFill="1" applyBorder="1" applyProtection="1">
      <protection hidden="1"/>
    </xf>
    <xf numFmtId="166" fontId="0" fillId="29" borderId="108" xfId="0" applyNumberFormat="1" applyFill="1" applyBorder="1" applyAlignment="1" applyProtection="1">
      <alignment horizontal="center" vertical="center"/>
      <protection hidden="1"/>
    </xf>
    <xf numFmtId="165" fontId="0" fillId="29" borderId="108" xfId="0" applyNumberFormat="1" applyFill="1" applyBorder="1" applyProtection="1">
      <protection hidden="1"/>
    </xf>
    <xf numFmtId="0" fontId="0" fillId="29" borderId="4" xfId="0" applyFill="1" applyBorder="1" applyProtection="1">
      <protection hidden="1"/>
    </xf>
    <xf numFmtId="166" fontId="0" fillId="29" borderId="4" xfId="0" applyNumberFormat="1" applyFill="1" applyBorder="1" applyAlignment="1" applyProtection="1">
      <alignment horizontal="center" vertical="center"/>
      <protection hidden="1"/>
    </xf>
    <xf numFmtId="166"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5"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1"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165" fontId="0" fillId="13" borderId="101" xfId="0" applyNumberFormat="1" applyFill="1" applyBorder="1" applyAlignment="1" applyProtection="1">
      <alignment horizontal="right" vertical="center"/>
      <protection locked="0"/>
    </xf>
    <xf numFmtId="165" fontId="0" fillId="13" borderId="105" xfId="0" applyNumberFormat="1" applyFill="1" applyBorder="1" applyAlignment="1" applyProtection="1">
      <alignment horizontal="right" vertical="center"/>
      <protection locked="0"/>
    </xf>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69"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1">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402"/>
          <c:y val="9.4835998260953663E-3"/>
        </c:manualLayout>
      </c:layout>
      <c:overlay val="0"/>
    </c:title>
    <c:autoTitleDeleted val="0"/>
    <c:plotArea>
      <c:layout>
        <c:manualLayout>
          <c:layoutTarget val="inner"/>
          <c:xMode val="edge"/>
          <c:yMode val="edge"/>
          <c:x val="0.47777753380381288"/>
          <c:y val="0.13340857209068577"/>
          <c:w val="0.491486313792483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10"/>
                <c:pt idx="6">
                  <c:v>Установка узлов управления</c:v>
                </c:pt>
                <c:pt idx="9">
                  <c:v>Ремонт трубопровода СО</c:v>
                </c:pt>
              </c:strCache>
            </c:strRef>
          </c:cat>
          <c:val>
            <c:numRef>
              <c:f>'Экономический расчет'!$E$41:$E$63</c:f>
              <c:numCache>
                <c:formatCode>0%</c:formatCode>
                <c:ptCount val="23"/>
                <c:pt idx="0">
                  <c:v>0</c:v>
                </c:pt>
                <c:pt idx="1">
                  <c:v>0</c:v>
                </c:pt>
                <c:pt idx="2">
                  <c:v>0</c:v>
                </c:pt>
                <c:pt idx="3">
                  <c:v>0</c:v>
                </c:pt>
                <c:pt idx="4">
                  <c:v>0</c:v>
                </c:pt>
                <c:pt idx="5">
                  <c:v>0</c:v>
                </c:pt>
                <c:pt idx="6">
                  <c:v>0.87926351350942233</c:v>
                </c:pt>
                <c:pt idx="7">
                  <c:v>0</c:v>
                </c:pt>
                <c:pt idx="8">
                  <c:v>0</c:v>
                </c:pt>
                <c:pt idx="9">
                  <c:v>0.12073648649057768</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115920256"/>
        <c:axId val="118060160"/>
      </c:barChart>
      <c:catAx>
        <c:axId val="11592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18060160"/>
        <c:crosses val="autoZero"/>
        <c:auto val="1"/>
        <c:lblAlgn val="ctr"/>
        <c:lblOffset val="100"/>
        <c:noMultiLvlLbl val="0"/>
      </c:catAx>
      <c:valAx>
        <c:axId val="11806016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115920256"/>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93"/>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06"/>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63457.730468087684</c:v>
                </c:pt>
                <c:pt idx="1">
                  <c:v>62709.116141307801</c:v>
                </c:pt>
                <c:pt idx="2">
                  <c:v>66801.523024390495</c:v>
                </c:pt>
                <c:pt idx="3" formatCode="0">
                  <c:v>54718.737521417846</c:v>
                </c:pt>
                <c:pt idx="4">
                  <c:v>60402.978539470234</c:v>
                </c:pt>
                <c:pt idx="5">
                  <c:v>65491.517914180731</c:v>
                </c:pt>
                <c:pt idx="6" formatCode="0">
                  <c:v>47458.472644688794</c:v>
                </c:pt>
                <c:pt idx="7">
                  <c:v>43184.907499707202</c:v>
                </c:pt>
                <c:pt idx="8">
                  <c:v>47358.071559229662</c:v>
                </c:pt>
                <c:pt idx="9" formatCode="0">
                  <c:v>27486.945300076364</c:v>
                </c:pt>
                <c:pt idx="10">
                  <c:v>37659.334394785146</c:v>
                </c:pt>
                <c:pt idx="11">
                  <c:v>64525.553077307719</c:v>
                </c:pt>
                <c:pt idx="12" formatCode="0">
                  <c:v>1800.5688851632299</c:v>
                </c:pt>
                <c:pt idx="13">
                  <c:v>11329.725447240295</c:v>
                </c:pt>
                <c:pt idx="14">
                  <c:v>4769.6362271023636</c:v>
                </c:pt>
                <c:pt idx="15" formatCode="0">
                  <c:v>0</c:v>
                </c:pt>
                <c:pt idx="16">
                  <c:v>0</c:v>
                </c:pt>
                <c:pt idx="17">
                  <c:v>0</c:v>
                </c:pt>
                <c:pt idx="18" formatCode="0">
                  <c:v>0</c:v>
                </c:pt>
                <c:pt idx="19">
                  <c:v>0</c:v>
                </c:pt>
                <c:pt idx="20">
                  <c:v>0</c:v>
                </c:pt>
                <c:pt idx="21" formatCode="0">
                  <c:v>0</c:v>
                </c:pt>
                <c:pt idx="22">
                  <c:v>0</c:v>
                </c:pt>
                <c:pt idx="23">
                  <c:v>0</c:v>
                </c:pt>
                <c:pt idx="24" formatCode="0">
                  <c:v>2035.4256962714771</c:v>
                </c:pt>
                <c:pt idx="25">
                  <c:v>705.78164373130005</c:v>
                </c:pt>
                <c:pt idx="26">
                  <c:v>0</c:v>
                </c:pt>
                <c:pt idx="27" formatCode="0">
                  <c:v>27863.875984571077</c:v>
                </c:pt>
                <c:pt idx="28">
                  <c:v>36178.923280532355</c:v>
                </c:pt>
                <c:pt idx="29">
                  <c:v>31951.939000632734</c:v>
                </c:pt>
                <c:pt idx="30" formatCode="0">
                  <c:v>44187.874089996163</c:v>
                </c:pt>
                <c:pt idx="31">
                  <c:v>54928.258140915583</c:v>
                </c:pt>
                <c:pt idx="32">
                  <c:v>47220.794558634727</c:v>
                </c:pt>
                <c:pt idx="33" formatCode="0">
                  <c:v>58424.256096681289</c:v>
                </c:pt>
                <c:pt idx="34">
                  <c:v>59079.363049431944</c:v>
                </c:pt>
                <c:pt idx="35">
                  <c:v>65342.602521818131</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32475.129882962043</c:v>
                </c:pt>
                <c:pt idx="1">
                  <c:v>32092.018994578651</c:v>
                </c:pt>
                <c:pt idx="2">
                  <c:v>34186.349253188724</c:v>
                </c:pt>
                <c:pt idx="3" formatCode="0">
                  <c:v>28002.862613143552</c:v>
                </c:pt>
                <c:pt idx="4">
                  <c:v>30911.829952278749</c:v>
                </c:pt>
                <c:pt idx="5">
                  <c:v>33515.941002096282</c:v>
                </c:pt>
                <c:pt idx="6" formatCode="0">
                  <c:v>24287.349260912124</c:v>
                </c:pt>
                <c:pt idx="7">
                  <c:v>22100.309445229301</c:v>
                </c:pt>
                <c:pt idx="8">
                  <c:v>24235.967998666769</c:v>
                </c:pt>
                <c:pt idx="9" formatCode="0">
                  <c:v>14066.719879853796</c:v>
                </c:pt>
                <c:pt idx="10">
                  <c:v>19272.542001664853</c:v>
                </c:pt>
                <c:pt idx="11">
                  <c:v>33021.598810712669</c:v>
                </c:pt>
                <c:pt idx="12" formatCode="0">
                  <c:v>921.45918200308085</c:v>
                </c:pt>
                <c:pt idx="13">
                  <c:v>5798.1006052912599</c:v>
                </c:pt>
                <c:pt idx="14">
                  <c:v>2440.9091662602927</c:v>
                </c:pt>
                <c:pt idx="15" formatCode="0">
                  <c:v>0</c:v>
                </c:pt>
                <c:pt idx="16">
                  <c:v>0</c:v>
                </c:pt>
                <c:pt idx="17">
                  <c:v>0</c:v>
                </c:pt>
                <c:pt idx="18" formatCode="0">
                  <c:v>0</c:v>
                </c:pt>
                <c:pt idx="19">
                  <c:v>0</c:v>
                </c:pt>
                <c:pt idx="20">
                  <c:v>0</c:v>
                </c:pt>
                <c:pt idx="21" formatCode="0">
                  <c:v>0</c:v>
                </c:pt>
                <c:pt idx="22">
                  <c:v>0</c:v>
                </c:pt>
                <c:pt idx="23">
                  <c:v>0</c:v>
                </c:pt>
                <c:pt idx="24" formatCode="0">
                  <c:v>1041.6495100904394</c:v>
                </c:pt>
                <c:pt idx="25">
                  <c:v>361.19083333291996</c:v>
                </c:pt>
                <c:pt idx="26">
                  <c:v>0</c:v>
                </c:pt>
                <c:pt idx="27" formatCode="0">
                  <c:v>14259.61793727795</c:v>
                </c:pt>
                <c:pt idx="28">
                  <c:v>18514.926769274574</c:v>
                </c:pt>
                <c:pt idx="29">
                  <c:v>16351.725178382323</c:v>
                </c:pt>
                <c:pt idx="30" formatCode="0">
                  <c:v>22613.587654954837</c:v>
                </c:pt>
                <c:pt idx="31">
                  <c:v>28110.086891118164</c:v>
                </c:pt>
                <c:pt idx="32">
                  <c:v>24165.715117081199</c:v>
                </c:pt>
                <c:pt idx="33" formatCode="0">
                  <c:v>29899.19890074409</c:v>
                </c:pt>
                <c:pt idx="34">
                  <c:v>30234.456452832368</c:v>
                </c:pt>
                <c:pt idx="35">
                  <c:v>33439.732056820823</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7634.7803115944826</c:v>
                </c:pt>
                <c:pt idx="1">
                  <c:v>7544.7123895160075</c:v>
                </c:pt>
                <c:pt idx="2">
                  <c:v>8037.0815188170636</c:v>
                </c:pt>
                <c:pt idx="3">
                  <c:v>6542.4614521105304</c:v>
                </c:pt>
                <c:pt idx="4">
                  <c:v>7222.0993500162867</c:v>
                </c:pt>
                <c:pt idx="5">
                  <c:v>7830.5120111007855</c:v>
                </c:pt>
                <c:pt idx="6">
                  <c:v>5457.946851504088</c:v>
                </c:pt>
                <c:pt idx="7">
                  <c:v>4966.4668242731605</c:v>
                </c:pt>
                <c:pt idx="8">
                  <c:v>5446.4002559705168</c:v>
                </c:pt>
                <c:pt idx="9">
                  <c:v>2772.8842661937174</c:v>
                </c:pt>
                <c:pt idx="10">
                  <c:v>3799.0753311659382</c:v>
                </c:pt>
                <c:pt idx="11">
                  <c:v>6509.340668532458</c:v>
                </c:pt>
                <c:pt idx="12" formatCode="General">
                  <c:v>-399.64787395503231</c:v>
                </c:pt>
                <c:pt idx="13">
                  <c:v>-2514.7056159827712</c:v>
                </c:pt>
                <c:pt idx="14">
                  <c:v>-1058.651514755881</c:v>
                </c:pt>
                <c:pt idx="15" formatCode="General">
                  <c:v>0</c:v>
                </c:pt>
                <c:pt idx="16">
                  <c:v>0</c:v>
                </c:pt>
                <c:pt idx="17">
                  <c:v>0</c:v>
                </c:pt>
                <c:pt idx="18" formatCode="General">
                  <c:v>0</c:v>
                </c:pt>
                <c:pt idx="19">
                  <c:v>0</c:v>
                </c:pt>
                <c:pt idx="20">
                  <c:v>0</c:v>
                </c:pt>
                <c:pt idx="21" formatCode="General">
                  <c:v>0</c:v>
                </c:pt>
                <c:pt idx="22">
                  <c:v>0</c:v>
                </c:pt>
                <c:pt idx="23">
                  <c:v>0</c:v>
                </c:pt>
                <c:pt idx="24" formatCode="General">
                  <c:v>276.93676857257276</c:v>
                </c:pt>
                <c:pt idx="25">
                  <c:v>96.027522935779885</c:v>
                </c:pt>
                <c:pt idx="26">
                  <c:v>0</c:v>
                </c:pt>
                <c:pt idx="27">
                  <c:v>2824.1688529664152</c:v>
                </c:pt>
                <c:pt idx="28">
                  <c:v>3666.9481417200559</c:v>
                </c:pt>
                <c:pt idx="29">
                  <c:v>3238.5182509223291</c:v>
                </c:pt>
                <c:pt idx="30">
                  <c:v>5045.1859570455945</c:v>
                </c:pt>
                <c:pt idx="31">
                  <c:v>6271.4779184242652</c:v>
                </c:pt>
                <c:pt idx="32">
                  <c:v>5391.4720835527678</c:v>
                </c:pt>
                <c:pt idx="33" formatCode="0.00">
                  <c:v>6949.9338297682907</c:v>
                </c:pt>
                <c:pt idx="34">
                  <c:v>7027.8629345138252</c:v>
                </c:pt>
                <c:pt idx="35">
                  <c:v>7772.9147811482826</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11101.967999999999</c:v>
                </c:pt>
                <c:pt idx="1">
                  <c:v>10970.99747459756</c:v>
                </c:pt>
                <c:pt idx="2">
                  <c:v>11686.966512945251</c:v>
                </c:pt>
                <c:pt idx="3">
                  <c:v>10027.583999999999</c:v>
                </c:pt>
                <c:pt idx="4">
                  <c:v>11069.260158234742</c:v>
                </c:pt>
                <c:pt idx="5">
                  <c:v>12001.769904046121</c:v>
                </c:pt>
                <c:pt idx="6">
                  <c:v>11101.967999999999</c:v>
                </c:pt>
                <c:pt idx="7">
                  <c:v>10102.252230790331</c:v>
                </c:pt>
                <c:pt idx="8">
                  <c:v>11078.48115822408</c:v>
                </c:pt>
                <c:pt idx="9">
                  <c:v>10743.839999999998</c:v>
                </c:pt>
                <c:pt idx="10">
                  <c:v>14719.928272384066</c:v>
                </c:pt>
                <c:pt idx="11">
                  <c:v>25221.144459882042</c:v>
                </c:pt>
                <c:pt idx="12">
                  <c:v>7162.5599999999986</c:v>
                </c:pt>
                <c:pt idx="13">
                  <c:v>45068.999563451209</c:v>
                </c:pt>
                <c:pt idx="14">
                  <c:v>18973.34000176132</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10743.839999999998</c:v>
                </c:pt>
                <c:pt idx="28">
                  <c:v>13949.981808473016</c:v>
                </c:pt>
                <c:pt idx="29">
                  <c:v>12320.128057655878</c:v>
                </c:pt>
                <c:pt idx="30" formatCode="0">
                  <c:v>10743.839999999998</c:v>
                </c:pt>
                <c:pt idx="31">
                  <c:v>13355.257049541973</c:v>
                </c:pt>
                <c:pt idx="32">
                  <c:v>11481.264302907452</c:v>
                </c:pt>
                <c:pt idx="33">
                  <c:v>11101.967999999999</c:v>
                </c:pt>
                <c:pt idx="34">
                  <c:v>11226.453563221889</c:v>
                </c:pt>
                <c:pt idx="35">
                  <c:v>12416.614788102561</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127532032"/>
        <c:axId val="127773696"/>
      </c:barChart>
      <c:catAx>
        <c:axId val="1275320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773696"/>
        <c:crosses val="autoZero"/>
        <c:auto val="1"/>
        <c:lblAlgn val="ctr"/>
        <c:lblOffset val="100"/>
        <c:noMultiLvlLbl val="0"/>
      </c:catAx>
      <c:valAx>
        <c:axId val="12777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13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532032"/>
        <c:crosses val="autoZero"/>
        <c:crossBetween val="between"/>
      </c:valAx>
      <c:spPr>
        <a:noFill/>
        <a:ln>
          <a:noFill/>
        </a:ln>
        <a:effectLst/>
      </c:spPr>
    </c:plotArea>
    <c:legend>
      <c:legendPos val="t"/>
      <c:layout>
        <c:manualLayout>
          <c:xMode val="edge"/>
          <c:yMode val="edge"/>
          <c:x val="0.32102799271816368"/>
          <c:y val="8.9312762984804547E-2"/>
          <c:w val="0.42583760194031284"/>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64"/>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92465.672662644196</c:v>
                </c:pt>
                <c:pt idx="1">
                  <c:v>91112.909</c:v>
                </c:pt>
                <c:pt idx="2">
                  <c:v>98507.984309341511</c:v>
                </c:pt>
                <c:pt idx="3">
                  <c:v>79236.477586671914</c:v>
                </c:pt>
                <c:pt idx="4">
                  <c:v>89551</c:v>
                </c:pt>
                <c:pt idx="5">
                  <c:v>98784.572831423895</c:v>
                </c:pt>
                <c:pt idx="6">
                  <c:v>66101.800757105011</c:v>
                </c:pt>
                <c:pt idx="7">
                  <c:v>58150</c:v>
                </c:pt>
                <c:pt idx="8">
                  <c:v>65914.984972091028</c:v>
                </c:pt>
                <c:pt idx="9">
                  <c:v>33582.709446123874</c:v>
                </c:pt>
                <c:pt idx="10">
                  <c:v>53963.199999999997</c:v>
                </c:pt>
                <c:pt idx="11">
                  <c:v>107789.95701643488</c:v>
                </c:pt>
                <c:pt idx="12">
                  <c:v>-4840.1798067887194</c:v>
                </c:pt>
                <c:pt idx="13">
                  <c:v>45357</c:v>
                </c:pt>
                <c:pt idx="14">
                  <c:v>10800.113880368101</c:v>
                </c:pt>
                <c:pt idx="15">
                  <c:v>0</c:v>
                </c:pt>
                <c:pt idx="16">
                  <c:v>-13083.75</c:v>
                </c:pt>
                <c:pt idx="17">
                  <c:v>0</c:v>
                </c:pt>
                <c:pt idx="18">
                  <c:v>0</c:v>
                </c:pt>
                <c:pt idx="19">
                  <c:v>-13083.75</c:v>
                </c:pt>
                <c:pt idx="20">
                  <c:v>0</c:v>
                </c:pt>
                <c:pt idx="21">
                  <c:v>0</c:v>
                </c:pt>
                <c:pt idx="22">
                  <c:v>-13083.75</c:v>
                </c:pt>
                <c:pt idx="23">
                  <c:v>0</c:v>
                </c:pt>
                <c:pt idx="24">
                  <c:v>3354.0119749344894</c:v>
                </c:pt>
                <c:pt idx="25">
                  <c:v>1163</c:v>
                </c:pt>
                <c:pt idx="26">
                  <c:v>0</c:v>
                </c:pt>
                <c:pt idx="27">
                  <c:v>34203.822774815446</c:v>
                </c:pt>
                <c:pt idx="28">
                  <c:v>50823.100000000006</c:v>
                </c:pt>
                <c:pt idx="29">
                  <c:v>42374.630487593269</c:v>
                </c:pt>
                <c:pt idx="30">
                  <c:v>61102.8077019966</c:v>
                </c:pt>
                <c:pt idx="31">
                  <c:v>81177.399999999994</c:v>
                </c:pt>
                <c:pt idx="32">
                  <c:v>66771.566062176164</c:v>
                </c:pt>
                <c:pt idx="33">
                  <c:v>84171.420827193651</c:v>
                </c:pt>
                <c:pt idx="34">
                  <c:v>85364.200000000012</c:v>
                </c:pt>
                <c:pt idx="35">
                  <c:v>96767.928147889776</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17399.323224852069</c:v>
                </c:pt>
                <c:pt idx="1">
                  <c:v>18949.631249999999</c:v>
                </c:pt>
                <c:pt idx="2">
                  <c:v>18949.631249999999</c:v>
                </c:pt>
                <c:pt idx="3">
                  <c:v>15715.517751479289</c:v>
                </c:pt>
                <c:pt idx="4">
                  <c:v>19189.5</c:v>
                </c:pt>
                <c:pt idx="5">
                  <c:v>19189.5</c:v>
                </c:pt>
                <c:pt idx="6">
                  <c:v>17399.323224852069</c:v>
                </c:pt>
                <c:pt idx="7">
                  <c:v>15831.337500000001</c:v>
                </c:pt>
                <c:pt idx="8">
                  <c:v>15831.337500000001</c:v>
                </c:pt>
                <c:pt idx="9">
                  <c:v>16838.054733727811</c:v>
                </c:pt>
                <c:pt idx="10">
                  <c:v>19909.106249999997</c:v>
                </c:pt>
                <c:pt idx="11">
                  <c:v>19909.106249999997</c:v>
                </c:pt>
                <c:pt idx="12">
                  <c:v>12812.228920118343</c:v>
                </c:pt>
                <c:pt idx="13">
                  <c:v>12952.912499999999</c:v>
                </c:pt>
                <c:pt idx="14">
                  <c:v>12952.912499999999</c:v>
                </c:pt>
                <c:pt idx="15">
                  <c:v>12398.931213017753</c:v>
                </c:pt>
                <c:pt idx="16">
                  <c:v>13083.75</c:v>
                </c:pt>
                <c:pt idx="17">
                  <c:v>13083.75</c:v>
                </c:pt>
                <c:pt idx="18">
                  <c:v>7026.0610207100581</c:v>
                </c:pt>
                <c:pt idx="19">
                  <c:v>13083.75</c:v>
                </c:pt>
                <c:pt idx="20">
                  <c:v>13083.75</c:v>
                </c:pt>
                <c:pt idx="21">
                  <c:v>12812.228920118343</c:v>
                </c:pt>
                <c:pt idx="22">
                  <c:v>13083.75</c:v>
                </c:pt>
                <c:pt idx="23">
                  <c:v>13083.75</c:v>
                </c:pt>
                <c:pt idx="24">
                  <c:v>15154.249260355029</c:v>
                </c:pt>
                <c:pt idx="25">
                  <c:v>13083.75</c:v>
                </c:pt>
                <c:pt idx="26">
                  <c:v>13083.75</c:v>
                </c:pt>
                <c:pt idx="27">
                  <c:v>17399.323224852069</c:v>
                </c:pt>
                <c:pt idx="28">
                  <c:v>15991.25</c:v>
                </c:pt>
                <c:pt idx="29">
                  <c:v>15991.25</c:v>
                </c:pt>
                <c:pt idx="30">
                  <c:v>16838.054733727811</c:v>
                </c:pt>
                <c:pt idx="31">
                  <c:v>15991.25</c:v>
                </c:pt>
                <c:pt idx="32">
                  <c:v>15991.25</c:v>
                </c:pt>
                <c:pt idx="33">
                  <c:v>17399.323224852069</c:v>
                </c:pt>
                <c:pt idx="34">
                  <c:v>15751.381249999999</c:v>
                </c:pt>
                <c:pt idx="35">
                  <c:v>15751.381249999999</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3844.6666666666665</c:v>
                </c:pt>
                <c:pt idx="1">
                  <c:v>940.06999999999994</c:v>
                </c:pt>
                <c:pt idx="2">
                  <c:v>940.06999999999994</c:v>
                </c:pt>
                <c:pt idx="3" formatCode="0">
                  <c:v>3844.6666666666665</c:v>
                </c:pt>
                <c:pt idx="4">
                  <c:v>590</c:v>
                </c:pt>
                <c:pt idx="5">
                  <c:v>590</c:v>
                </c:pt>
                <c:pt idx="6" formatCode="0">
                  <c:v>3844.6666666666665</c:v>
                </c:pt>
                <c:pt idx="7">
                  <c:v>588</c:v>
                </c:pt>
                <c:pt idx="8">
                  <c:v>588</c:v>
                </c:pt>
                <c:pt idx="9" formatCode="0">
                  <c:v>3844.6666666666665</c:v>
                </c:pt>
                <c:pt idx="10">
                  <c:v>668</c:v>
                </c:pt>
                <c:pt idx="11">
                  <c:v>668</c:v>
                </c:pt>
                <c:pt idx="12" formatCode="0">
                  <c:v>3844.6666666666665</c:v>
                </c:pt>
                <c:pt idx="13">
                  <c:v>1104</c:v>
                </c:pt>
                <c:pt idx="14">
                  <c:v>1104</c:v>
                </c:pt>
                <c:pt idx="15" formatCode="0">
                  <c:v>3844.6666666666665</c:v>
                </c:pt>
                <c:pt idx="16">
                  <c:v>472</c:v>
                </c:pt>
                <c:pt idx="17">
                  <c:v>472</c:v>
                </c:pt>
                <c:pt idx="18" formatCode="0">
                  <c:v>3844.6666666666665</c:v>
                </c:pt>
                <c:pt idx="19">
                  <c:v>490</c:v>
                </c:pt>
                <c:pt idx="20">
                  <c:v>490</c:v>
                </c:pt>
                <c:pt idx="21" formatCode="0">
                  <c:v>3844.6666666666665</c:v>
                </c:pt>
                <c:pt idx="22">
                  <c:v>655</c:v>
                </c:pt>
                <c:pt idx="23">
                  <c:v>655</c:v>
                </c:pt>
                <c:pt idx="24" formatCode="0">
                  <c:v>3844.6666666666665</c:v>
                </c:pt>
                <c:pt idx="25">
                  <c:v>567</c:v>
                </c:pt>
                <c:pt idx="26">
                  <c:v>567</c:v>
                </c:pt>
                <c:pt idx="27" formatCode="0">
                  <c:v>3844.6666666666665</c:v>
                </c:pt>
                <c:pt idx="28">
                  <c:v>687</c:v>
                </c:pt>
                <c:pt idx="29">
                  <c:v>687</c:v>
                </c:pt>
                <c:pt idx="30" formatCode="0">
                  <c:v>3844.6666666666665</c:v>
                </c:pt>
                <c:pt idx="31">
                  <c:v>345</c:v>
                </c:pt>
                <c:pt idx="32">
                  <c:v>345</c:v>
                </c:pt>
                <c:pt idx="33" formatCode="0">
                  <c:v>3844.6666666666665</c:v>
                </c:pt>
                <c:pt idx="34">
                  <c:v>694</c:v>
                </c:pt>
                <c:pt idx="35">
                  <c:v>694</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127846656"/>
        <c:axId val="128063360"/>
      </c:barChart>
      <c:catAx>
        <c:axId val="1278466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8063360"/>
        <c:crosses val="autoZero"/>
        <c:auto val="1"/>
        <c:lblAlgn val="ctr"/>
        <c:lblOffset val="100"/>
        <c:noMultiLvlLbl val="0"/>
      </c:catAx>
      <c:valAx>
        <c:axId val="128063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7846656"/>
        <c:crosses val="autoZero"/>
        <c:crossBetween val="between"/>
      </c:valAx>
      <c:spPr>
        <a:noFill/>
        <a:ln>
          <a:noFill/>
        </a:ln>
        <a:effectLst/>
      </c:spPr>
    </c:plotArea>
    <c:legend>
      <c:legendPos val="r"/>
      <c:layout>
        <c:manualLayout>
          <c:xMode val="edge"/>
          <c:yMode val="edge"/>
          <c:x val="0.38721041388386862"/>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77"/>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17399.323224852069</c:v>
                </c:pt>
                <c:pt idx="1">
                  <c:v>18949.631249999999</c:v>
                </c:pt>
                <c:pt idx="2">
                  <c:v>15715.517751479289</c:v>
                </c:pt>
                <c:pt idx="3">
                  <c:v>19189.5</c:v>
                </c:pt>
                <c:pt idx="4">
                  <c:v>17399.323224852069</c:v>
                </c:pt>
                <c:pt idx="5">
                  <c:v>15831.337500000001</c:v>
                </c:pt>
                <c:pt idx="6">
                  <c:v>16838.054733727811</c:v>
                </c:pt>
                <c:pt idx="7">
                  <c:v>19909.106249999997</c:v>
                </c:pt>
                <c:pt idx="8">
                  <c:v>12812.228920118343</c:v>
                </c:pt>
                <c:pt idx="9">
                  <c:v>12952.912499999999</c:v>
                </c:pt>
                <c:pt idx="10">
                  <c:v>12398.931213017753</c:v>
                </c:pt>
                <c:pt idx="11">
                  <c:v>13083.75</c:v>
                </c:pt>
                <c:pt idx="12">
                  <c:v>7026.0610207100581</c:v>
                </c:pt>
                <c:pt idx="13">
                  <c:v>13083.75</c:v>
                </c:pt>
                <c:pt idx="14">
                  <c:v>12812.228920118343</c:v>
                </c:pt>
                <c:pt idx="15">
                  <c:v>13083.75</c:v>
                </c:pt>
                <c:pt idx="16">
                  <c:v>15154.249260355029</c:v>
                </c:pt>
                <c:pt idx="17">
                  <c:v>13083.75</c:v>
                </c:pt>
                <c:pt idx="18">
                  <c:v>17399.323224852069</c:v>
                </c:pt>
                <c:pt idx="19">
                  <c:v>15991.25</c:v>
                </c:pt>
                <c:pt idx="20">
                  <c:v>16838.054733727811</c:v>
                </c:pt>
                <c:pt idx="21">
                  <c:v>15991.25</c:v>
                </c:pt>
                <c:pt idx="22">
                  <c:v>17399.323224852069</c:v>
                </c:pt>
                <c:pt idx="23">
                  <c:v>15751.381249999999</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131006848"/>
        <c:axId val="131008384"/>
      </c:barChart>
      <c:catAx>
        <c:axId val="131006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1008384"/>
        <c:crosses val="autoZero"/>
        <c:auto val="1"/>
        <c:lblAlgn val="ctr"/>
        <c:lblOffset val="100"/>
        <c:noMultiLvlLbl val="0"/>
      </c:catAx>
      <c:valAx>
        <c:axId val="131008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100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72"/>
          <c:h val="0.3849163537571939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216.9266272189349</c:v>
                </c:pt>
                <c:pt idx="1">
                  <c:v>237</c:v>
                </c:pt>
                <c:pt idx="2">
                  <c:v>195.93372781065088</c:v>
                </c:pt>
                <c:pt idx="3">
                  <c:v>240</c:v>
                </c:pt>
                <c:pt idx="4">
                  <c:v>216.9266272189349</c:v>
                </c:pt>
                <c:pt idx="5">
                  <c:v>198</c:v>
                </c:pt>
                <c:pt idx="6">
                  <c:v>209.92899408284021</c:v>
                </c:pt>
                <c:pt idx="7">
                  <c:v>249</c:v>
                </c:pt>
                <c:pt idx="8">
                  <c:v>195.2339644970414</c:v>
                </c:pt>
                <c:pt idx="9">
                  <c:v>198</c:v>
                </c:pt>
                <c:pt idx="10">
                  <c:v>188.93609467455622</c:v>
                </c:pt>
                <c:pt idx="11">
                  <c:v>200</c:v>
                </c:pt>
                <c:pt idx="12">
                  <c:v>107.06378698224852</c:v>
                </c:pt>
                <c:pt idx="13">
                  <c:v>200</c:v>
                </c:pt>
                <c:pt idx="14">
                  <c:v>195.2339644970414</c:v>
                </c:pt>
                <c:pt idx="15">
                  <c:v>200</c:v>
                </c:pt>
                <c:pt idx="16">
                  <c:v>188.93609467455622</c:v>
                </c:pt>
                <c:pt idx="17">
                  <c:v>200</c:v>
                </c:pt>
                <c:pt idx="18">
                  <c:v>216.9266272189349</c:v>
                </c:pt>
                <c:pt idx="19">
                  <c:v>200</c:v>
                </c:pt>
                <c:pt idx="20">
                  <c:v>209.92899408284021</c:v>
                </c:pt>
                <c:pt idx="21">
                  <c:v>200</c:v>
                </c:pt>
                <c:pt idx="22">
                  <c:v>216.9266272189349</c:v>
                </c:pt>
                <c:pt idx="23">
                  <c:v>197</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210931712"/>
        <c:axId val="210933248"/>
      </c:barChart>
      <c:catAx>
        <c:axId val="2109317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210933248"/>
        <c:crosses val="autoZero"/>
        <c:auto val="1"/>
        <c:lblAlgn val="ctr"/>
        <c:lblOffset val="100"/>
        <c:noMultiLvlLbl val="0"/>
      </c:catAx>
      <c:valAx>
        <c:axId val="210933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093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68"/>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464906.51396090107</c:v>
                </c:pt>
                <c:pt idx="1">
                  <c:v>181616.27884615384</c:v>
                </c:pt>
                <c:pt idx="2">
                  <c:v>46136</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481"/>
          <c:w val="0.43867187958983844"/>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556661.80900000001</c:v>
                </c:pt>
                <c:pt idx="1">
                  <c:v>188890.1484508547</c:v>
                </c:pt>
                <c:pt idx="2">
                  <c:v>7800.07</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279"/>
          <c:w val="0.42866141421171766"/>
          <c:h val="0.466104729387596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05"/>
          <c:y val="0.15498349361806849"/>
          <c:w val="0.4321687356647998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334488.2894206128</c:v>
                </c:pt>
                <c:pt idx="1">
                  <c:v>171177.73615819553</c:v>
                </c:pt>
                <c:pt idx="2">
                  <c:v>38386.776382092787</c:v>
                </c:pt>
                <c:pt idx="3" formatCode="0.0">
                  <c:v>79146.287999999986</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111"/>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3844.6666666666665</c:v>
                </c:pt>
                <c:pt idx="1">
                  <c:v>940.06999999999994</c:v>
                </c:pt>
                <c:pt idx="2" formatCode="0">
                  <c:v>3844.6666666666665</c:v>
                </c:pt>
                <c:pt idx="3">
                  <c:v>590</c:v>
                </c:pt>
                <c:pt idx="4" formatCode="0">
                  <c:v>3844.6666666666665</c:v>
                </c:pt>
                <c:pt idx="5">
                  <c:v>588</c:v>
                </c:pt>
                <c:pt idx="6" formatCode="0">
                  <c:v>3844.6666666666665</c:v>
                </c:pt>
                <c:pt idx="7">
                  <c:v>668</c:v>
                </c:pt>
                <c:pt idx="8" formatCode="0">
                  <c:v>3844.6666666666665</c:v>
                </c:pt>
                <c:pt idx="9">
                  <c:v>1104</c:v>
                </c:pt>
                <c:pt idx="10" formatCode="0">
                  <c:v>3844.6666666666665</c:v>
                </c:pt>
                <c:pt idx="11">
                  <c:v>472</c:v>
                </c:pt>
                <c:pt idx="12" formatCode="0">
                  <c:v>3844.6666666666665</c:v>
                </c:pt>
                <c:pt idx="13">
                  <c:v>490</c:v>
                </c:pt>
                <c:pt idx="14" formatCode="0">
                  <c:v>3844.6666666666665</c:v>
                </c:pt>
                <c:pt idx="15">
                  <c:v>655</c:v>
                </c:pt>
                <c:pt idx="16" formatCode="0">
                  <c:v>3844.6666666666665</c:v>
                </c:pt>
                <c:pt idx="17">
                  <c:v>567</c:v>
                </c:pt>
                <c:pt idx="18" formatCode="0">
                  <c:v>3844.6666666666665</c:v>
                </c:pt>
                <c:pt idx="19">
                  <c:v>687</c:v>
                </c:pt>
                <c:pt idx="20" formatCode="0">
                  <c:v>3844.6666666666665</c:v>
                </c:pt>
                <c:pt idx="21">
                  <c:v>345</c:v>
                </c:pt>
                <c:pt idx="22" formatCode="0">
                  <c:v>3844.6666666666665</c:v>
                </c:pt>
                <c:pt idx="23">
                  <c:v>694</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0">
                  <c:v>0</c:v>
                </c:pt>
                <c:pt idx="23">
                  <c:v>0</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92205440"/>
        <c:axId val="92206976"/>
      </c:barChart>
      <c:catAx>
        <c:axId val="922054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2206976"/>
        <c:crosses val="autoZero"/>
        <c:auto val="1"/>
        <c:lblAlgn val="ctr"/>
        <c:lblOffset val="100"/>
        <c:noMultiLvlLbl val="0"/>
      </c:catAx>
      <c:valAx>
        <c:axId val="92206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2205440"/>
        <c:crosses val="autoZero"/>
        <c:crossBetween val="between"/>
      </c:valAx>
      <c:spPr>
        <a:noFill/>
        <a:ln>
          <a:noFill/>
        </a:ln>
        <a:effectLst/>
      </c:spPr>
    </c:plotArea>
    <c:legend>
      <c:legendPos val="t"/>
      <c:layout>
        <c:manualLayout>
          <c:xMode val="edge"/>
          <c:yMode val="edge"/>
          <c:x val="0.27250911260948585"/>
          <c:y val="6.5911857167845769E-2"/>
          <c:w val="0.45272279924422304"/>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31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3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46136</c:v>
                </c:pt>
                <c:pt idx="1">
                  <c:v>1</c:v>
                </c:pt>
                <c:pt idx="2" formatCode="0">
                  <c:v>0</c:v>
                </c:pt>
                <c:pt idx="3">
                  <c:v>0</c:v>
                </c:pt>
                <c:pt idx="4" formatCode="0">
                  <c:v>0</c:v>
                </c:pt>
                <c:pt idx="5">
                  <c:v>0</c:v>
                </c:pt>
                <c:pt idx="6" formatCode="0.00">
                  <c:v>0</c:v>
                </c:pt>
                <c:pt idx="7" formatCode="0.00">
                  <c:v>0</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93"/>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06"/>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62709.116141307801</c:v>
                </c:pt>
                <c:pt idx="1">
                  <c:v>58693.906509435197</c:v>
                </c:pt>
                <c:pt idx="2">
                  <c:v>60402.978539470234</c:v>
                </c:pt>
                <c:pt idx="3">
                  <c:v>49604.078079504892</c:v>
                </c:pt>
                <c:pt idx="4">
                  <c:v>43184.907499707202</c:v>
                </c:pt>
                <c:pt idx="5">
                  <c:v>41867.720753590998</c:v>
                </c:pt>
                <c:pt idx="6">
                  <c:v>37659.334394785146</c:v>
                </c:pt>
                <c:pt idx="7">
                  <c:v>13760.869450861013</c:v>
                </c:pt>
                <c:pt idx="8">
                  <c:v>11329.725447240295</c:v>
                </c:pt>
                <c:pt idx="9">
                  <c:v>7561.8094243248033</c:v>
                </c:pt>
                <c:pt idx="10">
                  <c:v>0</c:v>
                </c:pt>
                <c:pt idx="11">
                  <c:v>0</c:v>
                </c:pt>
                <c:pt idx="12">
                  <c:v>0</c:v>
                </c:pt>
                <c:pt idx="13">
                  <c:v>0</c:v>
                </c:pt>
                <c:pt idx="14">
                  <c:v>0</c:v>
                </c:pt>
                <c:pt idx="15">
                  <c:v>0</c:v>
                </c:pt>
                <c:pt idx="16">
                  <c:v>705.78164373130005</c:v>
                </c:pt>
                <c:pt idx="17">
                  <c:v>0</c:v>
                </c:pt>
                <c:pt idx="18">
                  <c:v>36178.923280532355</c:v>
                </c:pt>
                <c:pt idx="19">
                  <c:v>33419.25438066246</c:v>
                </c:pt>
                <c:pt idx="20">
                  <c:v>54928.258140915583</c:v>
                </c:pt>
                <c:pt idx="21">
                  <c:v>53721.320940908729</c:v>
                </c:pt>
                <c:pt idx="22">
                  <c:v>59079.363049431944</c:v>
                </c:pt>
                <c:pt idx="23">
                  <c:v>51539.182224364697</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32092.018994578651</c:v>
                </c:pt>
                <c:pt idx="1">
                  <c:v>30037.195203362913</c:v>
                </c:pt>
                <c:pt idx="2">
                  <c:v>30911.829952278749</c:v>
                </c:pt>
                <c:pt idx="3">
                  <c:v>25385.384357018855</c:v>
                </c:pt>
                <c:pt idx="4">
                  <c:v>22100.309445229301</c:v>
                </c:pt>
                <c:pt idx="5">
                  <c:v>21426.225919948611</c:v>
                </c:pt>
                <c:pt idx="6">
                  <c:v>19272.542001664853</c:v>
                </c:pt>
                <c:pt idx="7">
                  <c:v>7042.262927192628</c:v>
                </c:pt>
                <c:pt idx="8">
                  <c:v>5798.1006052912599</c:v>
                </c:pt>
                <c:pt idx="9">
                  <c:v>3869.8317981707487</c:v>
                </c:pt>
                <c:pt idx="10">
                  <c:v>0</c:v>
                </c:pt>
                <c:pt idx="11">
                  <c:v>0</c:v>
                </c:pt>
                <c:pt idx="12">
                  <c:v>0</c:v>
                </c:pt>
                <c:pt idx="13">
                  <c:v>0</c:v>
                </c:pt>
                <c:pt idx="14">
                  <c:v>0</c:v>
                </c:pt>
                <c:pt idx="15">
                  <c:v>0</c:v>
                </c:pt>
                <c:pt idx="16">
                  <c:v>361.19083333291996</c:v>
                </c:pt>
                <c:pt idx="17">
                  <c:v>0</c:v>
                </c:pt>
                <c:pt idx="18">
                  <c:v>18514.926769274574</c:v>
                </c:pt>
                <c:pt idx="19">
                  <c:v>17102.638537467814</c:v>
                </c:pt>
                <c:pt idx="20">
                  <c:v>28110.086891118164</c:v>
                </c:pt>
                <c:pt idx="21">
                  <c:v>27492.424676575014</c:v>
                </c:pt>
                <c:pt idx="22">
                  <c:v>30234.456452832368</c:v>
                </c:pt>
                <c:pt idx="23">
                  <c:v>26375.693307210251</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7544.7123895160075</c:v>
                </c:pt>
                <c:pt idx="1">
                  <c:v>3881.4566856399097</c:v>
                </c:pt>
                <c:pt idx="2" formatCode="0">
                  <c:v>7222.0993500162867</c:v>
                </c:pt>
                <c:pt idx="3">
                  <c:v>3248.0939218261906</c:v>
                </c:pt>
                <c:pt idx="4" formatCode="0">
                  <c:v>4966.4668242731605</c:v>
                </c:pt>
                <c:pt idx="5">
                  <c:v>2609.5989336769831</c:v>
                </c:pt>
                <c:pt idx="6" formatCode="0">
                  <c:v>3799.0753311659382</c:v>
                </c:pt>
                <c:pt idx="7">
                  <c:v>502.96461890268256</c:v>
                </c:pt>
                <c:pt idx="8" formatCode="0">
                  <c:v>-2514.7056159827712</c:v>
                </c:pt>
                <c:pt idx="9">
                  <c:v>-2514.7056159827712</c:v>
                </c:pt>
                <c:pt idx="10" formatCode="0">
                  <c:v>0</c:v>
                </c:pt>
                <c:pt idx="11">
                  <c:v>0</c:v>
                </c:pt>
                <c:pt idx="12" formatCode="0">
                  <c:v>0</c:v>
                </c:pt>
                <c:pt idx="13">
                  <c:v>0</c:v>
                </c:pt>
                <c:pt idx="14" formatCode="0">
                  <c:v>0</c:v>
                </c:pt>
                <c:pt idx="15">
                  <c:v>0</c:v>
                </c:pt>
                <c:pt idx="16" formatCode="0">
                  <c:v>96.027522935779885</c:v>
                </c:pt>
                <c:pt idx="17">
                  <c:v>0</c:v>
                </c:pt>
                <c:pt idx="18" formatCode="0">
                  <c:v>3666.9481417200559</c:v>
                </c:pt>
                <c:pt idx="19">
                  <c:v>1988.9026459065155</c:v>
                </c:pt>
                <c:pt idx="20" formatCode="0">
                  <c:v>6271.4779184242652</c:v>
                </c:pt>
                <c:pt idx="21">
                  <c:v>3523.4952808741905</c:v>
                </c:pt>
                <c:pt idx="22" formatCode="0">
                  <c:v>7027.8629345138252</c:v>
                </c:pt>
                <c:pt idx="23">
                  <c:v>3340.6453765787505</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10970.99747459756</c:v>
                </c:pt>
                <c:pt idx="1">
                  <c:v>10970.99747459756</c:v>
                </c:pt>
                <c:pt idx="2" formatCode="0">
                  <c:v>11069.260158234742</c:v>
                </c:pt>
                <c:pt idx="3">
                  <c:v>10027.583999999999</c:v>
                </c:pt>
                <c:pt idx="4" formatCode="0">
                  <c:v>10102.252230790331</c:v>
                </c:pt>
                <c:pt idx="5">
                  <c:v>10102.252230790331</c:v>
                </c:pt>
                <c:pt idx="6" formatCode="0">
                  <c:v>14719.928272384066</c:v>
                </c:pt>
                <c:pt idx="7">
                  <c:v>10743.839999999998</c:v>
                </c:pt>
                <c:pt idx="8" formatCode="0">
                  <c:v>45068.999563451209</c:v>
                </c:pt>
                <c:pt idx="9">
                  <c:v>7162.5599999999986</c:v>
                </c:pt>
                <c:pt idx="10" formatCode="0">
                  <c:v>0</c:v>
                </c:pt>
                <c:pt idx="11">
                  <c:v>0</c:v>
                </c:pt>
                <c:pt idx="12" formatCode="0">
                  <c:v>0</c:v>
                </c:pt>
                <c:pt idx="13">
                  <c:v>0</c:v>
                </c:pt>
                <c:pt idx="14" formatCode="0">
                  <c:v>0</c:v>
                </c:pt>
                <c:pt idx="15">
                  <c:v>0</c:v>
                </c:pt>
                <c:pt idx="16" formatCode="0">
                  <c:v>0</c:v>
                </c:pt>
                <c:pt idx="17">
                  <c:v>0</c:v>
                </c:pt>
                <c:pt idx="18" formatCode="0">
                  <c:v>13949.981808473016</c:v>
                </c:pt>
                <c:pt idx="19">
                  <c:v>10743.839999999998</c:v>
                </c:pt>
                <c:pt idx="20" formatCode="0">
                  <c:v>13355.257049541973</c:v>
                </c:pt>
                <c:pt idx="21">
                  <c:v>10743.839999999998</c:v>
                </c:pt>
                <c:pt idx="22" formatCode="0">
                  <c:v>11226.453563221889</c:v>
                </c:pt>
                <c:pt idx="23">
                  <c:v>11101.967999999999</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97494144"/>
        <c:axId val="97495680"/>
      </c:barChart>
      <c:catAx>
        <c:axId val="974941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95680"/>
        <c:crosses val="autoZero"/>
        <c:auto val="1"/>
        <c:lblAlgn val="ctr"/>
        <c:lblOffset val="100"/>
        <c:noMultiLvlLbl val="0"/>
      </c:catAx>
      <c:valAx>
        <c:axId val="9749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13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94144"/>
        <c:crosses val="autoZero"/>
        <c:crossBetween val="between"/>
      </c:valAx>
      <c:spPr>
        <a:noFill/>
        <a:ln>
          <a:noFill/>
        </a:ln>
        <a:effectLst/>
      </c:spPr>
    </c:plotArea>
    <c:legend>
      <c:legendPos val="t"/>
      <c:layout>
        <c:manualLayout>
          <c:xMode val="edge"/>
          <c:yMode val="edge"/>
          <c:x val="0.32102799271816368"/>
          <c:y val="8.9312762984804547E-2"/>
          <c:w val="0.42583760194031284"/>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088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91112.909</c:v>
                </c:pt>
                <c:pt idx="1">
                  <c:v>81379.619873035583</c:v>
                </c:pt>
                <c:pt idx="2">
                  <c:v>89551</c:v>
                </c:pt>
                <c:pt idx="3">
                  <c:v>68209.972358349944</c:v>
                </c:pt>
                <c:pt idx="4">
                  <c:v>58150</c:v>
                </c:pt>
                <c:pt idx="5">
                  <c:v>53801.861838006924</c:v>
                </c:pt>
                <c:pt idx="6">
                  <c:v>53963.199999999997</c:v>
                </c:pt>
                <c:pt idx="7">
                  <c:v>10562.256996956323</c:v>
                </c:pt>
                <c:pt idx="8">
                  <c:v>45357</c:v>
                </c:pt>
                <c:pt idx="9">
                  <c:v>1754.3756065127836</c:v>
                </c:pt>
                <c:pt idx="10">
                  <c:v>-13083.75</c:v>
                </c:pt>
                <c:pt idx="11">
                  <c:v>0</c:v>
                </c:pt>
                <c:pt idx="12">
                  <c:v>-13083.75</c:v>
                </c:pt>
                <c:pt idx="13">
                  <c:v>0</c:v>
                </c:pt>
                <c:pt idx="14">
                  <c:v>-13083.75</c:v>
                </c:pt>
                <c:pt idx="15">
                  <c:v>0</c:v>
                </c:pt>
                <c:pt idx="16">
                  <c:v>1163</c:v>
                </c:pt>
                <c:pt idx="17">
                  <c:v>0</c:v>
                </c:pt>
                <c:pt idx="18">
                  <c:v>50823.100000000006</c:v>
                </c:pt>
                <c:pt idx="19">
                  <c:v>41766.955564036791</c:v>
                </c:pt>
                <c:pt idx="20">
                  <c:v>81177.399999999994</c:v>
                </c:pt>
                <c:pt idx="21">
                  <c:v>73993.400898357941</c:v>
                </c:pt>
                <c:pt idx="22">
                  <c:v>85364.200000000012</c:v>
                </c:pt>
                <c:pt idx="23">
                  <c:v>70153.552908153681</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18949.631249999999</c:v>
                </c:pt>
                <c:pt idx="1">
                  <c:v>18949.631249999999</c:v>
                </c:pt>
                <c:pt idx="2">
                  <c:v>19189.5</c:v>
                </c:pt>
                <c:pt idx="3">
                  <c:v>19189.5</c:v>
                </c:pt>
                <c:pt idx="4">
                  <c:v>15831.337500000001</c:v>
                </c:pt>
                <c:pt idx="5">
                  <c:v>15831.3375</c:v>
                </c:pt>
                <c:pt idx="6">
                  <c:v>19909.106249999997</c:v>
                </c:pt>
                <c:pt idx="7">
                  <c:v>19909.106249999997</c:v>
                </c:pt>
                <c:pt idx="8">
                  <c:v>12952.912499999999</c:v>
                </c:pt>
                <c:pt idx="9">
                  <c:v>12952.912499999999</c:v>
                </c:pt>
                <c:pt idx="10">
                  <c:v>13083.75</c:v>
                </c:pt>
                <c:pt idx="11">
                  <c:v>13083.75</c:v>
                </c:pt>
                <c:pt idx="12">
                  <c:v>13083.75</c:v>
                </c:pt>
                <c:pt idx="13">
                  <c:v>13083.75</c:v>
                </c:pt>
                <c:pt idx="14">
                  <c:v>13083.75</c:v>
                </c:pt>
                <c:pt idx="15">
                  <c:v>13083.75</c:v>
                </c:pt>
                <c:pt idx="16">
                  <c:v>13083.75</c:v>
                </c:pt>
                <c:pt idx="17">
                  <c:v>13083.75</c:v>
                </c:pt>
                <c:pt idx="18">
                  <c:v>15991.25</c:v>
                </c:pt>
                <c:pt idx="19">
                  <c:v>15991.25</c:v>
                </c:pt>
                <c:pt idx="20">
                  <c:v>15991.25</c:v>
                </c:pt>
                <c:pt idx="21">
                  <c:v>15991.25</c:v>
                </c:pt>
                <c:pt idx="22">
                  <c:v>15751.381249999999</c:v>
                </c:pt>
                <c:pt idx="23">
                  <c:v>15751.38125</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940.06999999999994</c:v>
                </c:pt>
                <c:pt idx="1">
                  <c:v>710.23782409650516</c:v>
                </c:pt>
                <c:pt idx="2">
                  <c:v>590</c:v>
                </c:pt>
                <c:pt idx="3">
                  <c:v>700.49049314686033</c:v>
                </c:pt>
                <c:pt idx="4">
                  <c:v>588</c:v>
                </c:pt>
                <c:pt idx="5">
                  <c:v>689.82653107466081</c:v>
                </c:pt>
                <c:pt idx="6">
                  <c:v>668</c:v>
                </c:pt>
                <c:pt idx="7">
                  <c:v>657.82334055284923</c:v>
                </c:pt>
                <c:pt idx="8">
                  <c:v>1104</c:v>
                </c:pt>
                <c:pt idx="9">
                  <c:v>651.30430997271139</c:v>
                </c:pt>
                <c:pt idx="10">
                  <c:v>472</c:v>
                </c:pt>
                <c:pt idx="11">
                  <c:v>650.00583333333327</c:v>
                </c:pt>
                <c:pt idx="12">
                  <c:v>490</c:v>
                </c:pt>
                <c:pt idx="13">
                  <c:v>650.00583333333327</c:v>
                </c:pt>
                <c:pt idx="14">
                  <c:v>655</c:v>
                </c:pt>
                <c:pt idx="15">
                  <c:v>650.00583333333327</c:v>
                </c:pt>
                <c:pt idx="16">
                  <c:v>567</c:v>
                </c:pt>
                <c:pt idx="17">
                  <c:v>650.00583333333327</c:v>
                </c:pt>
                <c:pt idx="18">
                  <c:v>687</c:v>
                </c:pt>
                <c:pt idx="19">
                  <c:v>680.91906302970881</c:v>
                </c:pt>
                <c:pt idx="20">
                  <c:v>345</c:v>
                </c:pt>
                <c:pt idx="21">
                  <c:v>704.77101712749209</c:v>
                </c:pt>
                <c:pt idx="22">
                  <c:v>694</c:v>
                </c:pt>
                <c:pt idx="23">
                  <c:v>701.92900718644296</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98117504"/>
        <c:axId val="98119040"/>
      </c:barChart>
      <c:catAx>
        <c:axId val="981175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119040"/>
        <c:crosses val="autoZero"/>
        <c:auto val="1"/>
        <c:lblAlgn val="ctr"/>
        <c:lblOffset val="100"/>
        <c:noMultiLvlLbl val="0"/>
      </c:catAx>
      <c:valAx>
        <c:axId val="98119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117504"/>
        <c:crosses val="autoZero"/>
        <c:crossBetween val="between"/>
      </c:valAx>
      <c:spPr>
        <a:noFill/>
        <a:ln>
          <a:noFill/>
        </a:ln>
        <a:effectLst/>
      </c:spPr>
    </c:plotArea>
    <c:legend>
      <c:legendPos val="r"/>
      <c:layout>
        <c:manualLayout>
          <c:xMode val="edge"/>
          <c:yMode val="edge"/>
          <c:x val="0.38660986921816037"/>
          <c:y val="0.12138574192349318"/>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77"/>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18949.631249999999</c:v>
                </c:pt>
                <c:pt idx="1">
                  <c:v>18949.631249999999</c:v>
                </c:pt>
                <c:pt idx="2">
                  <c:v>19189.5</c:v>
                </c:pt>
                <c:pt idx="3">
                  <c:v>19189.5</c:v>
                </c:pt>
                <c:pt idx="4">
                  <c:v>15831.337500000001</c:v>
                </c:pt>
                <c:pt idx="5">
                  <c:v>15831.3375</c:v>
                </c:pt>
                <c:pt idx="6">
                  <c:v>19909.106249999997</c:v>
                </c:pt>
                <c:pt idx="7">
                  <c:v>19909.106249999997</c:v>
                </c:pt>
                <c:pt idx="8">
                  <c:v>12952.912499999999</c:v>
                </c:pt>
                <c:pt idx="9">
                  <c:v>12952.912499999999</c:v>
                </c:pt>
                <c:pt idx="10">
                  <c:v>13083.75</c:v>
                </c:pt>
                <c:pt idx="11">
                  <c:v>13083.75</c:v>
                </c:pt>
                <c:pt idx="12">
                  <c:v>13083.75</c:v>
                </c:pt>
                <c:pt idx="13">
                  <c:v>13083.75</c:v>
                </c:pt>
                <c:pt idx="14">
                  <c:v>13083.75</c:v>
                </c:pt>
                <c:pt idx="15">
                  <c:v>13083.75</c:v>
                </c:pt>
                <c:pt idx="16">
                  <c:v>13083.75</c:v>
                </c:pt>
                <c:pt idx="17">
                  <c:v>13083.75</c:v>
                </c:pt>
                <c:pt idx="18">
                  <c:v>15991.25</c:v>
                </c:pt>
                <c:pt idx="19">
                  <c:v>15991.25</c:v>
                </c:pt>
                <c:pt idx="20">
                  <c:v>15991.25</c:v>
                </c:pt>
                <c:pt idx="21">
                  <c:v>15991.25</c:v>
                </c:pt>
                <c:pt idx="22">
                  <c:v>15751.381249999999</c:v>
                </c:pt>
                <c:pt idx="23">
                  <c:v>15751.38125</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98127232"/>
        <c:axId val="98129024"/>
      </c:barChart>
      <c:catAx>
        <c:axId val="981272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129024"/>
        <c:crosses val="autoZero"/>
        <c:auto val="1"/>
        <c:lblAlgn val="ctr"/>
        <c:lblOffset val="100"/>
        <c:noMultiLvlLbl val="0"/>
      </c:catAx>
      <c:valAx>
        <c:axId val="98129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127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72"/>
          <c:h val="0.3849163537571939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237</c:v>
                </c:pt>
                <c:pt idx="1">
                  <c:v>240</c:v>
                </c:pt>
                <c:pt idx="2" formatCode="General">
                  <c:v>240</c:v>
                </c:pt>
                <c:pt idx="3">
                  <c:v>198</c:v>
                </c:pt>
                <c:pt idx="4" formatCode="General">
                  <c:v>198</c:v>
                </c:pt>
                <c:pt idx="5">
                  <c:v>249</c:v>
                </c:pt>
                <c:pt idx="6" formatCode="General">
                  <c:v>249</c:v>
                </c:pt>
                <c:pt idx="7">
                  <c:v>198</c:v>
                </c:pt>
                <c:pt idx="8" formatCode="General">
                  <c:v>198</c:v>
                </c:pt>
                <c:pt idx="9">
                  <c:v>200</c:v>
                </c:pt>
                <c:pt idx="10" formatCode="General">
                  <c:v>200</c:v>
                </c:pt>
                <c:pt idx="11">
                  <c:v>200</c:v>
                </c:pt>
                <c:pt idx="12" formatCode="General">
                  <c:v>200</c:v>
                </c:pt>
                <c:pt idx="13">
                  <c:v>200</c:v>
                </c:pt>
                <c:pt idx="14" formatCode="General">
                  <c:v>200</c:v>
                </c:pt>
                <c:pt idx="15">
                  <c:v>200</c:v>
                </c:pt>
                <c:pt idx="16" formatCode="General">
                  <c:v>200</c:v>
                </c:pt>
                <c:pt idx="17">
                  <c:v>200</c:v>
                </c:pt>
                <c:pt idx="18" formatCode="General">
                  <c:v>200</c:v>
                </c:pt>
                <c:pt idx="19">
                  <c:v>200</c:v>
                </c:pt>
                <c:pt idx="20" formatCode="General">
                  <c:v>200</c:v>
                </c:pt>
                <c:pt idx="21">
                  <c:v>197</c:v>
                </c:pt>
                <c:pt idx="22" formatCode="General">
                  <c:v>197</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98141696"/>
        <c:axId val="98143232"/>
      </c:barChart>
      <c:catAx>
        <c:axId val="98141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143232"/>
        <c:crosses val="autoZero"/>
        <c:auto val="1"/>
        <c:lblAlgn val="ctr"/>
        <c:lblOffset val="100"/>
        <c:noMultiLvlLbl val="0"/>
      </c:catAx>
      <c:valAx>
        <c:axId val="9814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14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68"/>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83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409474.85443680757</c:v>
                </c:pt>
                <c:pt idx="1">
                  <c:v>8103.1371031477865</c:v>
                </c:pt>
                <c:pt idx="2">
                  <c:v>188890.1484508547</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1"/>
          <c:w val="0.35146259842519689"/>
          <c:h val="0.64409886264217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556661.80900000001</c:v>
                </c:pt>
                <c:pt idx="1">
                  <c:v>7800.07</c:v>
                </c:pt>
                <c:pt idx="2">
                  <c:v>188890.1484508547</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1"/>
          <c:w val="0.35146259842519689"/>
          <c:h val="0.64409886264217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05"/>
          <c:y val="0.15498349361806849"/>
          <c:w val="0.4321687356647998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310168.14176365279</c:v>
                </c:pt>
                <c:pt idx="1">
                  <c:v>158954.19808092591</c:v>
                </c:pt>
                <c:pt idx="2">
                  <c:v>19498.802592228953</c:v>
                </c:pt>
                <c:pt idx="3" formatCode="0.0">
                  <c:v>79146.287999999986</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940.06999999999994</c:v>
                </c:pt>
                <c:pt idx="1">
                  <c:v>650.00583333333327</c:v>
                </c:pt>
                <c:pt idx="2">
                  <c:v>590</c:v>
                </c:pt>
                <c:pt idx="3">
                  <c:v>650.00583333333327</c:v>
                </c:pt>
                <c:pt idx="4">
                  <c:v>588</c:v>
                </c:pt>
                <c:pt idx="5">
                  <c:v>650.00583333333327</c:v>
                </c:pt>
                <c:pt idx="6">
                  <c:v>668</c:v>
                </c:pt>
                <c:pt idx="7">
                  <c:v>650.00583333333327</c:v>
                </c:pt>
                <c:pt idx="8">
                  <c:v>1104</c:v>
                </c:pt>
                <c:pt idx="9">
                  <c:v>650.00583333333327</c:v>
                </c:pt>
                <c:pt idx="10">
                  <c:v>472</c:v>
                </c:pt>
                <c:pt idx="11">
                  <c:v>650.00583333333327</c:v>
                </c:pt>
                <c:pt idx="12">
                  <c:v>490</c:v>
                </c:pt>
                <c:pt idx="13">
                  <c:v>650.00583333333327</c:v>
                </c:pt>
                <c:pt idx="14">
                  <c:v>655</c:v>
                </c:pt>
                <c:pt idx="15">
                  <c:v>650.00583333333327</c:v>
                </c:pt>
                <c:pt idx="16">
                  <c:v>567</c:v>
                </c:pt>
                <c:pt idx="17">
                  <c:v>650.00583333333327</c:v>
                </c:pt>
                <c:pt idx="18">
                  <c:v>687</c:v>
                </c:pt>
                <c:pt idx="19">
                  <c:v>650.00583333333327</c:v>
                </c:pt>
                <c:pt idx="20">
                  <c:v>345</c:v>
                </c:pt>
                <c:pt idx="21">
                  <c:v>650.00583333333327</c:v>
                </c:pt>
                <c:pt idx="22">
                  <c:v>694</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0</c:v>
                </c:pt>
                <c:pt idx="1">
                  <c:v>60.231990763171915</c:v>
                </c:pt>
                <c:pt idx="2">
                  <c:v>0</c:v>
                </c:pt>
                <c:pt idx="3">
                  <c:v>50.484659813527045</c:v>
                </c:pt>
                <c:pt idx="4">
                  <c:v>0</c:v>
                </c:pt>
                <c:pt idx="5">
                  <c:v>39.820697741327578</c:v>
                </c:pt>
                <c:pt idx="6">
                  <c:v>0</c:v>
                </c:pt>
                <c:pt idx="7">
                  <c:v>7.8175072195159716</c:v>
                </c:pt>
                <c:pt idx="8">
                  <c:v>0</c:v>
                </c:pt>
                <c:pt idx="9">
                  <c:v>1.298476639378169</c:v>
                </c:pt>
                <c:pt idx="10">
                  <c:v>0</c:v>
                </c:pt>
                <c:pt idx="11">
                  <c:v>0</c:v>
                </c:pt>
                <c:pt idx="12">
                  <c:v>0</c:v>
                </c:pt>
                <c:pt idx="13">
                  <c:v>0</c:v>
                </c:pt>
                <c:pt idx="14">
                  <c:v>0</c:v>
                </c:pt>
                <c:pt idx="15">
                  <c:v>0</c:v>
                </c:pt>
                <c:pt idx="16">
                  <c:v>0</c:v>
                </c:pt>
                <c:pt idx="17">
                  <c:v>0</c:v>
                </c:pt>
                <c:pt idx="18">
                  <c:v>0</c:v>
                </c:pt>
                <c:pt idx="19">
                  <c:v>30.913229696375534</c:v>
                </c:pt>
                <c:pt idx="20">
                  <c:v>0</c:v>
                </c:pt>
                <c:pt idx="21">
                  <c:v>54.765183794158801</c:v>
                </c:pt>
                <c:pt idx="22">
                  <c:v>0</c:v>
                </c:pt>
                <c:pt idx="23">
                  <c:v>51.923173853109667</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98805632"/>
        <c:axId val="98807168"/>
      </c:barChart>
      <c:catAx>
        <c:axId val="98805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807168"/>
        <c:crosses val="autoZero"/>
        <c:auto val="1"/>
        <c:lblAlgn val="ctr"/>
        <c:lblOffset val="100"/>
        <c:noMultiLvlLbl val="0"/>
      </c:catAx>
      <c:valAx>
        <c:axId val="9880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805632"/>
        <c:crosses val="autoZero"/>
        <c:crossBetween val="between"/>
      </c:valAx>
      <c:spPr>
        <a:noFill/>
        <a:ln>
          <a:noFill/>
        </a:ln>
        <a:effectLst/>
      </c:spPr>
    </c:plotArea>
    <c:legend>
      <c:legendPos val="t"/>
      <c:layout>
        <c:manualLayout>
          <c:xMode val="edge"/>
          <c:yMode val="edge"/>
          <c:x val="0.27250911260948585"/>
          <c:y val="6.5911857167845769E-2"/>
          <c:w val="0.45272279924422304"/>
          <c:h val="0.101290714220557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31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3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7800.07</c:v>
                </c:pt>
                <c:pt idx="1">
                  <c:v>0</c:v>
                </c:pt>
                <c:pt idx="2" formatCode="0">
                  <c:v>0</c:v>
                </c:pt>
                <c:pt idx="3">
                  <c:v>0</c:v>
                </c:pt>
                <c:pt idx="4" formatCode="0">
                  <c:v>303.06710314778684</c:v>
                </c:pt>
                <c:pt idx="5">
                  <c:v>0</c:v>
                </c:pt>
                <c:pt idx="6" formatCode="0.0">
                  <c:v>303.06710314778684</c:v>
                </c:pt>
                <c:pt idx="7" formatCode="0.0">
                  <c:v>0</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6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99644160"/>
        <c:axId val="99645696"/>
      </c:scatterChart>
      <c:valAx>
        <c:axId val="99644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645696"/>
        <c:crosses val="autoZero"/>
        <c:crossBetween val="midCat"/>
      </c:valAx>
      <c:valAx>
        <c:axId val="9964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644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6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99695616"/>
        <c:axId val="99697408"/>
      </c:scatterChart>
      <c:valAx>
        <c:axId val="99695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697408"/>
        <c:crosses val="autoZero"/>
        <c:crossBetween val="midCat"/>
      </c:valAx>
      <c:valAx>
        <c:axId val="99697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695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trlProps/ctrlProp1.xml><?xml version="1.0" encoding="utf-8"?>
<formControlPr xmlns="http://schemas.microsoft.com/office/spreadsheetml/2009/9/main" objectType="CheckBox" checked="Checked" fmlaLink="списки!$C$31" lockText="1" noThreeD="1"/>
</file>

<file path=xl/ctrlProps/ctrlProp2.xml><?xml version="1.0" encoding="utf-8"?>
<formControlPr xmlns="http://schemas.microsoft.com/office/spreadsheetml/2009/9/main" objectType="CheckBox"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3" lockText="1" noThreeD="1"/>
</file>

<file path=xl/ctrlProps/ctrlProp12.xml><?xml version="1.0" encoding="utf-8"?>
<formControlPr xmlns="http://schemas.microsoft.com/office/spreadsheetml/2009/9/main" objectType="CheckBox" fmlaLink="списки!$C$34"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checked="Checked" fmlaLink="списки!$C$35" lockText="1" noThreeD="1"/>
</file>

<file path=xl/ctrlProps/ctrlProp29.xml><?xml version="1.0" encoding="utf-8"?>
<formControlPr xmlns="http://schemas.microsoft.com/office/spreadsheetml/2009/9/main" objectType="CheckBox" checked="Checked" fmlaLink="списки!$C$36" lockText="1" noThreeD="1"/>
</file>

<file path=xl/ctrlProps/ctrlProp30.xml><?xml version="1.0" encoding="utf-8"?>
<formControlPr xmlns="http://schemas.microsoft.com/office/spreadsheetml/2009/9/main" objectType="CheckBox" checked="Checked"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fmlaLink="списки!$C$41" lockText="1" noThreeD="1"/>
</file>

<file path=xl/ctrlProps/ctrlProp33.xml><?xml version="1.0" encoding="utf-8"?>
<formControlPr xmlns="http://schemas.microsoft.com/office/spreadsheetml/2009/9/main" objectType="CheckBox" fmlaLink="списки!$C$42" lockText="1" noThreeD="1"/>
</file>

<file path=xl/ctrlProps/ctrlProp34.xml><?xml version="1.0" encoding="utf-8"?>
<formControlPr xmlns="http://schemas.microsoft.com/office/spreadsheetml/2009/9/main" objectType="CheckBox"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checked="Checked"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57150</xdr:rowOff>
        </xdr:from>
        <xdr:to>
          <xdr:col>3</xdr:col>
          <xdr:colOff>1047750</xdr:colOff>
          <xdr:row>26</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26</xdr:row>
          <xdr:rowOff>66675</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123</xdr:row>
          <xdr:rowOff>9525</xdr:rowOff>
        </xdr:from>
        <xdr:to>
          <xdr:col>2</xdr:col>
          <xdr:colOff>1666875</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19050</xdr:rowOff>
        </xdr:from>
        <xdr:to>
          <xdr:col>2</xdr:col>
          <xdr:colOff>3629025</xdr:colOff>
          <xdr:row>124</xdr:row>
          <xdr:rowOff>85725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89</xdr:row>
          <xdr:rowOff>38100</xdr:rowOff>
        </xdr:from>
        <xdr:to>
          <xdr:col>2</xdr:col>
          <xdr:colOff>2981325</xdr:colOff>
          <xdr:row>91</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38100</xdr:rowOff>
        </xdr:from>
        <xdr:to>
          <xdr:col>2</xdr:col>
          <xdr:colOff>3752850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47625</xdr:rowOff>
        </xdr:from>
        <xdr:to>
          <xdr:col>4</xdr:col>
          <xdr:colOff>4029075</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88</xdr:row>
          <xdr:rowOff>0</xdr:rowOff>
        </xdr:from>
        <xdr:to>
          <xdr:col>4</xdr:col>
          <xdr:colOff>3895725</xdr:colOff>
          <xdr:row>89</xdr:row>
          <xdr:rowOff>47625</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89</xdr:row>
          <xdr:rowOff>57150</xdr:rowOff>
        </xdr:from>
        <xdr:to>
          <xdr:col>4</xdr:col>
          <xdr:colOff>3962400</xdr:colOff>
          <xdr:row>90</xdr:row>
          <xdr:rowOff>142875</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142875</xdr:rowOff>
        </xdr:from>
        <xdr:to>
          <xdr:col>4</xdr:col>
          <xdr:colOff>3876675</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19050</xdr:rowOff>
        </xdr:from>
        <xdr:to>
          <xdr:col>3</xdr:col>
          <xdr:colOff>1047750</xdr:colOff>
          <xdr:row>27</xdr:row>
          <xdr:rowOff>323850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xdr:row>
          <xdr:rowOff>28575</xdr:rowOff>
        </xdr:from>
        <xdr:to>
          <xdr:col>3</xdr:col>
          <xdr:colOff>2124075</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180975</xdr:rowOff>
        </xdr:from>
        <xdr:to>
          <xdr:col>2</xdr:col>
          <xdr:colOff>2047875</xdr:colOff>
          <xdr:row>88</xdr:row>
          <xdr:rowOff>133350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88</xdr:row>
          <xdr:rowOff>0</xdr:rowOff>
        </xdr:from>
        <xdr:to>
          <xdr:col>2</xdr:col>
          <xdr:colOff>2790825</xdr:colOff>
          <xdr:row>88</xdr:row>
          <xdr:rowOff>133350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3571875</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3562350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133350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3867150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57150</xdr:rowOff>
        </xdr:from>
        <xdr:to>
          <xdr:col>4</xdr:col>
          <xdr:colOff>3676650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38100</xdr:rowOff>
        </xdr:from>
        <xdr:to>
          <xdr:col>4</xdr:col>
          <xdr:colOff>3733800</xdr:colOff>
          <xdr:row>101</xdr:row>
          <xdr:rowOff>438150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3</xdr:col>
          <xdr:colOff>0</xdr:colOff>
          <xdr:row>120</xdr:row>
          <xdr:rowOff>171450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115</xdr:row>
          <xdr:rowOff>152400</xdr:rowOff>
        </xdr:from>
        <xdr:to>
          <xdr:col>2</xdr:col>
          <xdr:colOff>3743325</xdr:colOff>
          <xdr:row>117</xdr:row>
          <xdr:rowOff>57150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117</xdr:row>
          <xdr:rowOff>47625</xdr:rowOff>
        </xdr:from>
        <xdr:to>
          <xdr:col>2</xdr:col>
          <xdr:colOff>3762375</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118</xdr:row>
          <xdr:rowOff>47625</xdr:rowOff>
        </xdr:from>
        <xdr:to>
          <xdr:col>2</xdr:col>
          <xdr:colOff>3714750</xdr:colOff>
          <xdr:row>119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119</xdr:row>
          <xdr:rowOff>57150</xdr:rowOff>
        </xdr:from>
        <xdr:to>
          <xdr:col>2</xdr:col>
          <xdr:colOff>3752850</xdr:colOff>
          <xdr:row>120</xdr:row>
          <xdr:rowOff>161925</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124</xdr:row>
          <xdr:rowOff>66675</xdr:rowOff>
        </xdr:from>
        <xdr:to>
          <xdr:col>2</xdr:col>
          <xdr:colOff>3762375</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92</xdr:row>
          <xdr:rowOff>19050</xdr:rowOff>
        </xdr:from>
        <xdr:to>
          <xdr:col>4</xdr:col>
          <xdr:colOff>3990975</xdr:colOff>
          <xdr:row>93</xdr:row>
          <xdr:rowOff>142875</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4</xdr:col>
          <xdr:colOff>47625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2371725</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133350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3</xdr:col>
          <xdr:colOff>2933700</xdr:colOff>
          <xdr:row>18</xdr:row>
          <xdr:rowOff>9525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0</xdr:rowOff>
        </xdr:from>
        <xdr:to>
          <xdr:col>3</xdr:col>
          <xdr:colOff>1143000</xdr:colOff>
          <xdr:row>24</xdr:row>
          <xdr:rowOff>9525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0</xdr:rowOff>
        </xdr:from>
        <xdr:to>
          <xdr:col>3</xdr:col>
          <xdr:colOff>1143000</xdr:colOff>
          <xdr:row>25</xdr:row>
          <xdr:rowOff>9525</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1143000</xdr:colOff>
          <xdr:row>26</xdr:row>
          <xdr:rowOff>9525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4</xdr:col>
          <xdr:colOff>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102</xdr:row>
          <xdr:rowOff>85725</xdr:rowOff>
        </xdr:from>
        <xdr:to>
          <xdr:col>4</xdr:col>
          <xdr:colOff>3810000</xdr:colOff>
          <xdr:row>102</xdr:row>
          <xdr:rowOff>485775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2</xdr:col>
          <xdr:colOff>314325</xdr:colOff>
          <xdr:row>23</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333375</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304800</xdr:rowOff>
        </xdr:from>
        <xdr:to>
          <xdr:col>2</xdr:col>
          <xdr:colOff>333375</xdr:colOff>
          <xdr:row>72</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180975</xdr:rowOff>
        </xdr:from>
        <xdr:to>
          <xdr:col>2</xdr:col>
          <xdr:colOff>314325</xdr:colOff>
          <xdr:row>31</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200025</xdr:rowOff>
        </xdr:from>
        <xdr:to>
          <xdr:col>2</xdr:col>
          <xdr:colOff>342900</xdr:colOff>
          <xdr:row>33</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104775</xdr:rowOff>
        </xdr:from>
        <xdr:to>
          <xdr:col>2</xdr:col>
          <xdr:colOff>371475</xdr:colOff>
          <xdr:row>36</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219075</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333375</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581025</xdr:rowOff>
        </xdr:from>
        <xdr:to>
          <xdr:col>2</xdr:col>
          <xdr:colOff>371475</xdr:colOff>
          <xdr:row>43</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552450</xdr:rowOff>
        </xdr:from>
        <xdr:to>
          <xdr:col>2</xdr:col>
          <xdr:colOff>342900</xdr:colOff>
          <xdr:row>37</xdr:row>
          <xdr:rowOff>1000125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209550</xdr:rowOff>
        </xdr:from>
        <xdr:to>
          <xdr:col>2</xdr:col>
          <xdr:colOff>314325</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209550</xdr:rowOff>
        </xdr:from>
        <xdr:to>
          <xdr:col>2</xdr:col>
          <xdr:colOff>342900</xdr:colOff>
          <xdr:row>55</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66675</xdr:rowOff>
        </xdr:from>
        <xdr:to>
          <xdr:col>2</xdr:col>
          <xdr:colOff>400050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742950</xdr:rowOff>
        </xdr:from>
        <xdr:to>
          <xdr:col>2</xdr:col>
          <xdr:colOff>314325</xdr:colOff>
          <xdr:row>48</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123825</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3</xdr:col>
          <xdr:colOff>371475</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371475</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3</xdr:col>
          <xdr:colOff>390525</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238125</xdr:rowOff>
        </xdr:from>
        <xdr:to>
          <xdr:col>3</xdr:col>
          <xdr:colOff>400050</xdr:colOff>
          <xdr:row>45</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219075</xdr:rowOff>
        </xdr:from>
        <xdr:to>
          <xdr:col>3</xdr:col>
          <xdr:colOff>400050</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295275</xdr:rowOff>
        </xdr:from>
        <xdr:to>
          <xdr:col>3</xdr:col>
          <xdr:colOff>400050</xdr:colOff>
          <xdr:row>20</xdr:row>
          <xdr:rowOff>9525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285750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190500</xdr:rowOff>
        </xdr:from>
        <xdr:to>
          <xdr:col>3</xdr:col>
          <xdr:colOff>381000</xdr:colOff>
          <xdr:row>61</xdr:row>
          <xdr:rowOff>171450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3</xdr:col>
          <xdr:colOff>419100</xdr:colOff>
          <xdr:row>57</xdr:row>
          <xdr:rowOff>333375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38</xdr:row>
      <xdr:rowOff>161924</xdr:rowOff>
    </xdr:from>
    <xdr:to>
      <xdr:col>6</xdr:col>
      <xdr:colOff>38100</xdr:colOff>
      <xdr:row>67</xdr:row>
      <xdr:rowOff>123824</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A2" sqref="A2"/>
    </sheetView>
  </sheetViews>
  <sheetFormatPr defaultColWidth="9.140625" defaultRowHeight="15" x14ac:dyDescent="0.25"/>
  <cols>
    <col min="1" max="1" width="9.140625" style="32"/>
    <col min="2" max="2" width="4.7109375" style="32" customWidth="1"/>
    <col min="3" max="3" width="4.28515625" style="32" customWidth="1"/>
    <col min="4" max="4" width="112" style="32" customWidth="1"/>
    <col min="5" max="16384" width="9.140625" style="32"/>
  </cols>
  <sheetData>
    <row r="1" spans="1:24" s="30" customFormat="1" x14ac:dyDescent="0.25">
      <c r="A1" s="31"/>
      <c r="B1" s="29"/>
      <c r="D1" s="1419" t="s">
        <v>1654</v>
      </c>
      <c r="E1" s="31"/>
      <c r="F1" s="31"/>
      <c r="G1" s="31"/>
      <c r="H1" s="31"/>
      <c r="I1" s="31"/>
      <c r="J1" s="31"/>
      <c r="K1" s="31"/>
      <c r="L1" s="31"/>
      <c r="M1" s="31"/>
      <c r="N1" s="31"/>
      <c r="O1" s="31"/>
      <c r="P1" s="31"/>
      <c r="Q1" s="31"/>
      <c r="R1" s="31"/>
      <c r="S1" s="31"/>
      <c r="T1" s="31"/>
      <c r="U1" s="31"/>
      <c r="V1" s="31"/>
      <c r="W1" s="31"/>
      <c r="X1" s="31"/>
    </row>
    <row r="2" spans="1:24"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35">
      <c r="A3" s="31"/>
      <c r="B3" s="33"/>
      <c r="C3" s="1531" t="s">
        <v>1875</v>
      </c>
      <c r="D3" s="1531"/>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2" t="s">
        <v>1877</v>
      </c>
      <c r="D5" s="1532"/>
      <c r="E5" s="31"/>
      <c r="F5" s="31"/>
      <c r="G5" s="31"/>
      <c r="H5" s="31"/>
      <c r="I5" s="31"/>
      <c r="J5" s="31"/>
      <c r="K5" s="31"/>
      <c r="L5" s="31"/>
      <c r="M5" s="31"/>
      <c r="N5" s="31"/>
      <c r="O5" s="31"/>
      <c r="P5" s="31"/>
      <c r="Q5" s="31"/>
      <c r="R5" s="31"/>
      <c r="S5" s="31"/>
      <c r="T5" s="31"/>
      <c r="U5" s="31"/>
      <c r="V5" s="31"/>
      <c r="W5" s="31"/>
      <c r="X5" s="31"/>
    </row>
    <row r="6" spans="1:24" ht="26.25" x14ac:dyDescent="0.4">
      <c r="A6" s="31"/>
      <c r="B6" s="33"/>
      <c r="C6" s="1533" t="s">
        <v>1879</v>
      </c>
      <c r="D6" s="1533"/>
      <c r="E6" s="34"/>
      <c r="F6" s="31"/>
      <c r="G6" s="31"/>
      <c r="H6" s="31"/>
      <c r="I6" s="31"/>
      <c r="J6" s="31"/>
      <c r="K6" s="31"/>
      <c r="L6" s="31"/>
      <c r="M6" s="31"/>
      <c r="N6" s="31"/>
      <c r="O6" s="31"/>
      <c r="P6" s="31"/>
      <c r="Q6" s="31"/>
      <c r="R6" s="31"/>
      <c r="S6" s="31"/>
      <c r="T6" s="31"/>
      <c r="U6" s="31"/>
      <c r="V6" s="31"/>
      <c r="W6" s="31"/>
      <c r="X6" s="31"/>
    </row>
    <row r="7" spans="1:24" ht="39" customHeight="1" x14ac:dyDescent="0.3">
      <c r="A7" s="31"/>
      <c r="B7" s="33"/>
      <c r="C7" s="1530" t="s">
        <v>1655</v>
      </c>
      <c r="D7" s="1530"/>
      <c r="E7" s="34"/>
      <c r="F7" s="31"/>
      <c r="G7" s="31"/>
      <c r="H7" s="31"/>
      <c r="I7" s="31"/>
      <c r="J7" s="31"/>
      <c r="K7" s="31"/>
      <c r="L7" s="31"/>
      <c r="M7" s="31"/>
      <c r="N7" s="31"/>
      <c r="O7" s="31"/>
      <c r="P7" s="31"/>
      <c r="Q7" s="31"/>
      <c r="R7" s="31"/>
      <c r="S7" s="31"/>
      <c r="T7" s="31"/>
      <c r="U7" s="31"/>
      <c r="V7" s="31"/>
      <c r="W7" s="31"/>
      <c r="X7" s="31"/>
    </row>
    <row r="8" spans="1:24" ht="33" x14ac:dyDescent="0.25">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
      <c r="A9" s="31"/>
      <c r="B9" s="33"/>
      <c r="C9" s="1530" t="s">
        <v>1657</v>
      </c>
      <c r="D9" s="1530"/>
      <c r="E9" s="34"/>
      <c r="F9" s="31"/>
      <c r="G9" s="31"/>
      <c r="H9" s="31"/>
      <c r="I9" s="31"/>
      <c r="J9" s="31"/>
      <c r="K9" s="31"/>
      <c r="L9" s="31"/>
      <c r="M9" s="31"/>
      <c r="N9" s="31"/>
      <c r="O9" s="31"/>
      <c r="P9" s="31"/>
      <c r="Q9" s="31"/>
      <c r="R9" s="31"/>
      <c r="S9" s="31"/>
      <c r="T9" s="31"/>
      <c r="U9" s="31"/>
      <c r="V9" s="31"/>
      <c r="W9" s="31"/>
      <c r="X9" s="31"/>
    </row>
    <row r="10" spans="1:24" ht="49.5" x14ac:dyDescent="0.25">
      <c r="A10" s="31"/>
      <c r="B10" s="33"/>
      <c r="C10" s="35"/>
      <c r="D10" s="37" t="s">
        <v>1876</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
      <c r="A11" s="31"/>
      <c r="B11" s="33"/>
      <c r="C11" s="1530" t="s">
        <v>1658</v>
      </c>
      <c r="D11" s="1530"/>
      <c r="E11" s="34"/>
      <c r="F11" s="31"/>
      <c r="G11" s="31"/>
      <c r="H11" s="31"/>
      <c r="I11" s="31"/>
      <c r="J11" s="31"/>
      <c r="K11" s="31"/>
      <c r="L11" s="31"/>
      <c r="M11" s="31"/>
      <c r="N11" s="31"/>
      <c r="O11" s="31"/>
      <c r="P11" s="31"/>
      <c r="Q11" s="31"/>
      <c r="R11" s="31"/>
      <c r="S11" s="31"/>
      <c r="T11" s="31"/>
      <c r="U11" s="31"/>
      <c r="V11" s="31"/>
      <c r="W11" s="31"/>
      <c r="X11" s="31"/>
    </row>
    <row r="12" spans="1:24" ht="33" x14ac:dyDescent="0.25">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
      <c r="A13" s="31"/>
      <c r="B13" s="33"/>
      <c r="C13" s="1530" t="s">
        <v>1660</v>
      </c>
      <c r="D13" s="1530"/>
      <c r="E13" s="34"/>
      <c r="F13" s="31"/>
      <c r="G13" s="31"/>
      <c r="H13" s="31"/>
      <c r="I13" s="31"/>
      <c r="J13" s="31"/>
      <c r="K13" s="31"/>
      <c r="L13" s="31"/>
      <c r="M13" s="31"/>
      <c r="N13" s="31"/>
      <c r="O13" s="31"/>
      <c r="P13" s="31"/>
      <c r="Q13" s="31"/>
      <c r="R13" s="31"/>
      <c r="S13" s="31"/>
      <c r="T13" s="31"/>
      <c r="U13" s="31"/>
      <c r="V13" s="31"/>
      <c r="W13" s="31"/>
      <c r="X13" s="31"/>
    </row>
    <row r="14" spans="1:24" ht="34.5" customHeight="1" x14ac:dyDescent="0.25">
      <c r="A14" s="31"/>
      <c r="B14" s="33"/>
      <c r="C14" s="35"/>
      <c r="D14" s="37" t="s">
        <v>1878</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1946</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zoomScale="85" zoomScaleNormal="85" workbookViewId="0">
      <pane ySplit="1" topLeftCell="A72" activePane="bottomLeft" state="frozen"/>
      <selection pane="bottomLeft" activeCell="D97" sqref="D97"/>
    </sheetView>
  </sheetViews>
  <sheetFormatPr defaultRowHeight="15" x14ac:dyDescent="0.25"/>
  <cols>
    <col min="1" max="1" width="0.7109375" style="1292" customWidth="1"/>
    <col min="2" max="2" width="5" style="1480" customWidth="1"/>
    <col min="3" max="3" width="57.42578125" customWidth="1"/>
    <col min="4" max="4" width="45.42578125" customWidth="1"/>
    <col min="5" max="5" width="61.42578125" customWidth="1"/>
    <col min="6" max="6" width="38.85546875" customWidth="1"/>
    <col min="7" max="7" width="19.28515625" customWidth="1"/>
    <col min="8" max="8" width="11.42578125" customWidth="1"/>
    <col min="9" max="9" width="16.42578125" customWidth="1"/>
    <col min="10" max="10" width="15.140625" customWidth="1"/>
    <col min="11" max="11" width="17.140625" customWidth="1"/>
    <col min="29" max="29" width="10.7109375" bestFit="1" customWidth="1"/>
  </cols>
  <sheetData>
    <row r="1" spans="1:26" s="1320" customFormat="1" ht="15" customHeight="1" x14ac:dyDescent="0.25">
      <c r="A1" s="1292"/>
      <c r="B1" s="1474"/>
      <c r="C1" s="1373" t="s">
        <v>1661</v>
      </c>
      <c r="D1" s="1319"/>
      <c r="E1" s="1374" t="s">
        <v>1654</v>
      </c>
      <c r="F1" s="1534"/>
      <c r="G1" s="1534"/>
      <c r="H1" s="1534"/>
      <c r="I1" s="1534"/>
      <c r="J1" s="1534"/>
      <c r="K1" s="1534"/>
      <c r="L1" s="1534"/>
      <c r="M1" s="1534"/>
      <c r="N1" s="1534"/>
      <c r="O1" s="1534"/>
      <c r="P1" s="1534"/>
      <c r="Q1" s="1534"/>
      <c r="R1" s="1534"/>
      <c r="S1" s="1534"/>
      <c r="T1" s="1534"/>
      <c r="U1" s="1534"/>
      <c r="V1" s="1534"/>
      <c r="W1" s="1534"/>
      <c r="X1" s="1534"/>
      <c r="Y1" s="1534"/>
      <c r="Z1" s="1318"/>
    </row>
    <row r="2" spans="1:26" s="17" customFormat="1" ht="15" customHeight="1" x14ac:dyDescent="0.25">
      <c r="A2" s="1292"/>
      <c r="B2" s="1475"/>
      <c r="C2" s="28"/>
      <c r="D2" s="28"/>
      <c r="E2" s="18" t="s">
        <v>1758</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25">
      <c r="A3" s="1292"/>
      <c r="B3" s="1475"/>
      <c r="C3" s="1569" t="s">
        <v>1759</v>
      </c>
      <c r="D3" s="1570"/>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25">
      <c r="A4" s="1292"/>
      <c r="B4" s="1475"/>
      <c r="C4" s="1569"/>
      <c r="D4" s="1570"/>
      <c r="E4" s="11" t="s">
        <v>1815</v>
      </c>
      <c r="F4" s="18"/>
      <c r="G4" s="18"/>
      <c r="H4" s="18"/>
      <c r="I4" s="18"/>
      <c r="J4" s="18"/>
      <c r="K4" s="18"/>
      <c r="L4" s="18"/>
      <c r="M4" s="18"/>
      <c r="N4" s="18"/>
      <c r="O4" s="18"/>
      <c r="P4" s="18"/>
      <c r="Q4" s="18"/>
      <c r="R4" s="18"/>
      <c r="S4" s="18"/>
      <c r="T4" s="18"/>
      <c r="U4" s="18"/>
      <c r="V4" s="18"/>
      <c r="W4" s="18"/>
      <c r="X4" s="18"/>
      <c r="Y4" s="18"/>
      <c r="Z4" s="18"/>
    </row>
    <row r="5" spans="1:26" s="17" customFormat="1" x14ac:dyDescent="0.25">
      <c r="A5" s="1292"/>
      <c r="B5" s="1475"/>
      <c r="C5" s="1569"/>
      <c r="D5" s="1570"/>
      <c r="E5" s="25" t="s">
        <v>1752</v>
      </c>
      <c r="F5" s="18"/>
      <c r="G5" s="18"/>
      <c r="H5" s="18"/>
      <c r="I5" s="18"/>
      <c r="J5" s="18"/>
      <c r="K5" s="18"/>
      <c r="L5" s="18"/>
      <c r="M5" s="18"/>
      <c r="N5" s="18"/>
      <c r="O5" s="18"/>
      <c r="P5" s="18"/>
      <c r="Q5" s="18"/>
      <c r="R5" s="18"/>
      <c r="S5" s="18"/>
      <c r="T5" s="18"/>
      <c r="U5" s="18"/>
      <c r="V5" s="18"/>
      <c r="W5" s="18"/>
      <c r="X5" s="18"/>
      <c r="Y5" s="18"/>
      <c r="Z5" s="18"/>
    </row>
    <row r="6" spans="1:26" s="17" customFormat="1" x14ac:dyDescent="0.25">
      <c r="A6" s="1292"/>
      <c r="B6" s="1475"/>
      <c r="C6" s="1534"/>
      <c r="D6" s="1570"/>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
      <c r="B8" s="1476">
        <v>0.125</v>
      </c>
      <c r="C8" s="1555" t="s">
        <v>756</v>
      </c>
      <c r="D8" s="1556"/>
      <c r="E8" s="1557"/>
      <c r="F8" s="74"/>
      <c r="G8" s="10"/>
      <c r="H8" s="10"/>
      <c r="I8" s="10"/>
      <c r="J8" s="10"/>
      <c r="K8" s="10"/>
      <c r="L8" s="18"/>
      <c r="M8" s="18"/>
      <c r="N8" s="18"/>
      <c r="O8" s="18"/>
      <c r="P8" s="18"/>
      <c r="Q8" s="18"/>
      <c r="R8" s="18"/>
      <c r="S8" s="18"/>
      <c r="T8" s="18"/>
      <c r="U8" s="18"/>
      <c r="V8" s="18"/>
      <c r="W8" s="18"/>
      <c r="X8" s="18"/>
      <c r="Y8" s="18"/>
      <c r="Z8" s="18"/>
    </row>
    <row r="9" spans="1:26" x14ac:dyDescent="0.25">
      <c r="B9" s="1477">
        <v>1</v>
      </c>
      <c r="C9" s="1286" t="s">
        <v>1867</v>
      </c>
      <c r="D9" s="71" t="s">
        <v>1947</v>
      </c>
      <c r="E9" s="1481"/>
      <c r="F9" s="74"/>
      <c r="G9" s="10"/>
      <c r="H9" s="10"/>
      <c r="I9" s="10"/>
      <c r="J9" s="10"/>
      <c r="K9" s="10"/>
      <c r="L9" s="18"/>
      <c r="M9" s="18"/>
      <c r="N9" s="18"/>
      <c r="O9" s="18"/>
      <c r="P9" s="18"/>
      <c r="Q9" s="18"/>
      <c r="R9" s="18"/>
      <c r="S9" s="18"/>
      <c r="T9" s="18"/>
      <c r="U9" s="18"/>
      <c r="V9" s="18"/>
      <c r="W9" s="18"/>
      <c r="X9" s="18"/>
      <c r="Y9" s="18"/>
      <c r="Z9" s="18"/>
    </row>
    <row r="10" spans="1:26" x14ac:dyDescent="0.25">
      <c r="B10" s="1477">
        <v>2</v>
      </c>
      <c r="C10" s="1286" t="s">
        <v>752</v>
      </c>
      <c r="D10" s="71" t="s">
        <v>229</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25">
      <c r="B11" s="1477">
        <v>3</v>
      </c>
      <c r="C11" s="1287" t="s">
        <v>753</v>
      </c>
      <c r="D11" s="71" t="s">
        <v>236</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25">
      <c r="B12" s="1477">
        <v>4</v>
      </c>
      <c r="C12" s="1287" t="s">
        <v>810</v>
      </c>
      <c r="D12" s="71">
        <v>1973</v>
      </c>
      <c r="E12" s="1481" t="s">
        <v>1762</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25">
      <c r="A13" s="1292"/>
      <c r="B13" s="1499" t="s">
        <v>1916</v>
      </c>
      <c r="C13" s="1495" t="s">
        <v>1907</v>
      </c>
      <c r="D13" s="71" t="str">
        <f>IF(ISBLANK(D12),
        INDEX(snipyear,1),
        IF(D12&lt;=1996,
                INDEX(snipyear,2),
                IF(D12&lt;2001,
                        INDEX(snipyear,3),
                        INDEX(snipyear,4))))</f>
        <v>до 1995 г.</v>
      </c>
      <c r="E13" s="1496" t="s">
        <v>1917</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5" x14ac:dyDescent="0.25">
      <c r="B14" s="1477">
        <v>5</v>
      </c>
      <c r="C14" s="1287" t="s">
        <v>757</v>
      </c>
      <c r="D14" s="73" t="s">
        <v>446</v>
      </c>
      <c r="E14" s="1482" t="s">
        <v>1765</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25">
      <c r="A15" s="1292"/>
      <c r="B15" s="1564">
        <v>6</v>
      </c>
      <c r="C15" s="1573"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7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25">
      <c r="A16" s="1292"/>
      <c r="B16" s="1564"/>
      <c r="C16" s="1573"/>
      <c r="D16" s="1290" t="s">
        <v>928</v>
      </c>
      <c r="E16" s="1572"/>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25">
      <c r="B17" s="1477">
        <v>7</v>
      </c>
      <c r="C17" s="1288" t="s">
        <v>1761</v>
      </c>
      <c r="D17" s="71">
        <v>4</v>
      </c>
      <c r="E17" s="1540"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25">
      <c r="A18" s="1292"/>
      <c r="B18" s="1477">
        <v>8</v>
      </c>
      <c r="C18" s="1288"/>
      <c r="D18" s="1291"/>
      <c r="E18" s="1540"/>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25">
      <c r="B19" s="1477">
        <v>9</v>
      </c>
      <c r="C19" s="1286" t="s">
        <v>1496</v>
      </c>
      <c r="D19" s="71">
        <v>5</v>
      </c>
      <c r="E19" s="1540"/>
      <c r="F19" s="74"/>
      <c r="G19" s="18"/>
      <c r="H19" s="10"/>
      <c r="I19" s="10"/>
      <c r="J19" s="10"/>
      <c r="K19" s="10"/>
      <c r="L19" s="18"/>
      <c r="M19" s="18"/>
      <c r="N19" s="18"/>
      <c r="O19" s="18"/>
      <c r="P19" s="18"/>
      <c r="Q19" s="18"/>
      <c r="R19" s="18"/>
      <c r="S19" s="18"/>
      <c r="T19" s="18"/>
      <c r="U19" s="18"/>
      <c r="V19" s="18"/>
      <c r="W19" s="18"/>
      <c r="X19" s="18"/>
      <c r="Y19" s="18"/>
      <c r="Z19" s="18"/>
    </row>
    <row r="20" spans="1:26" x14ac:dyDescent="0.25">
      <c r="B20" s="1477">
        <v>10</v>
      </c>
      <c r="C20" s="1287" t="s">
        <v>1763</v>
      </c>
      <c r="D20" s="71">
        <v>60</v>
      </c>
      <c r="E20" s="1540"/>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25">
      <c r="B21" s="1477">
        <v>11</v>
      </c>
      <c r="C21" s="1288" t="s">
        <v>1274</v>
      </c>
      <c r="D21" s="71">
        <v>60</v>
      </c>
      <c r="E21" s="1540"/>
      <c r="F21" s="74"/>
      <c r="G21" s="18"/>
      <c r="H21" s="10"/>
      <c r="I21" s="10"/>
      <c r="J21" s="10"/>
      <c r="K21" s="10"/>
      <c r="L21" s="18"/>
      <c r="M21" s="18"/>
      <c r="N21" s="18"/>
      <c r="O21" s="18"/>
      <c r="P21" s="18"/>
      <c r="Q21" s="18"/>
      <c r="R21" s="18"/>
      <c r="S21" s="18"/>
      <c r="T21" s="18"/>
      <c r="U21" s="18"/>
      <c r="V21" s="18"/>
      <c r="W21" s="18"/>
      <c r="X21" s="18"/>
      <c r="Y21" s="18"/>
      <c r="Z21" s="18"/>
    </row>
    <row r="22" spans="1:26" x14ac:dyDescent="0.25">
      <c r="B22" s="1477">
        <v>12</v>
      </c>
      <c r="C22" s="1287" t="s">
        <v>755</v>
      </c>
      <c r="D22" s="71">
        <v>120</v>
      </c>
      <c r="E22" s="1483"/>
      <c r="F22" s="74"/>
      <c r="G22" s="10"/>
      <c r="H22" s="10"/>
      <c r="I22" s="10"/>
      <c r="J22" s="10"/>
      <c r="K22" s="10"/>
      <c r="L22" s="18"/>
      <c r="M22" s="18"/>
      <c r="N22" s="18"/>
      <c r="O22" s="18"/>
      <c r="P22" s="18"/>
      <c r="Q22" s="18"/>
      <c r="R22" s="18"/>
      <c r="S22" s="18"/>
      <c r="T22" s="18"/>
      <c r="U22" s="18"/>
      <c r="V22" s="18"/>
      <c r="W22" s="18"/>
      <c r="X22" s="18"/>
      <c r="Y22" s="18"/>
      <c r="Z22" s="18"/>
    </row>
    <row r="23" spans="1:26" ht="30" x14ac:dyDescent="0.25">
      <c r="B23" s="1477">
        <v>13</v>
      </c>
      <c r="C23" s="1288" t="s">
        <v>1760</v>
      </c>
      <c r="D23" s="72"/>
      <c r="E23" s="1482" t="s">
        <v>1766</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25">
      <c r="A24" s="1292"/>
      <c r="B24" s="1564">
        <v>14</v>
      </c>
      <c r="C24" s="1536" t="s">
        <v>1516</v>
      </c>
      <c r="D24" s="9"/>
      <c r="E24" s="1568" t="s">
        <v>1767</v>
      </c>
      <c r="F24" s="1544"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25">
      <c r="A25" s="1292"/>
      <c r="B25" s="1564"/>
      <c r="C25" s="1537"/>
      <c r="D25" s="9"/>
      <c r="E25" s="1568"/>
      <c r="F25" s="1544"/>
      <c r="G25" s="10"/>
      <c r="H25" s="10"/>
      <c r="I25" s="10"/>
      <c r="J25" s="10"/>
      <c r="K25" s="10"/>
      <c r="L25" s="18"/>
      <c r="M25" s="18"/>
      <c r="N25" s="18"/>
      <c r="O25" s="18"/>
      <c r="P25" s="18"/>
      <c r="Q25" s="18"/>
      <c r="R25" s="18"/>
      <c r="S25" s="18"/>
      <c r="T25" s="18"/>
      <c r="U25" s="18"/>
      <c r="V25" s="18"/>
      <c r="W25" s="18"/>
      <c r="X25" s="18"/>
      <c r="Y25" s="18"/>
      <c r="Z25" s="18"/>
    </row>
    <row r="26" spans="1:26" s="8" customFormat="1" x14ac:dyDescent="0.25">
      <c r="A26" s="1292"/>
      <c r="B26" s="1564"/>
      <c r="C26" s="1538"/>
      <c r="D26" s="9"/>
      <c r="E26" s="1568"/>
      <c r="F26" s="1544"/>
      <c r="G26" s="10"/>
      <c r="H26" s="10"/>
      <c r="I26" s="10"/>
      <c r="J26" s="10"/>
      <c r="K26" s="10"/>
      <c r="L26" s="18"/>
      <c r="M26" s="18"/>
      <c r="N26" s="18"/>
      <c r="O26" s="18"/>
      <c r="P26" s="18"/>
      <c r="Q26" s="18"/>
      <c r="R26" s="18"/>
      <c r="S26" s="18"/>
      <c r="T26" s="18"/>
      <c r="U26" s="18"/>
      <c r="V26" s="18"/>
      <c r="W26" s="18"/>
      <c r="X26" s="18"/>
      <c r="Y26" s="18"/>
      <c r="Z26" s="18"/>
    </row>
    <row r="27" spans="1:26" ht="32.25" customHeight="1" x14ac:dyDescent="0.25">
      <c r="B27" s="1477">
        <v>15</v>
      </c>
      <c r="C27" s="1287" t="s">
        <v>519</v>
      </c>
      <c r="D27" s="24"/>
      <c r="E27" s="1482" t="s">
        <v>1764</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25">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25">
      <c r="A29" s="1292"/>
      <c r="B29" s="1477">
        <v>17</v>
      </c>
      <c r="C29" s="1539"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25">
      <c r="A30" s="1292"/>
      <c r="B30" s="1477">
        <v>18</v>
      </c>
      <c r="C30" s="1539"/>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25">
      <c r="A31" s="1292"/>
      <c r="B31" s="1477">
        <v>19</v>
      </c>
      <c r="C31" s="1539"/>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25">
      <c r="B32" s="1477"/>
      <c r="C32" s="1294" t="s">
        <v>859</v>
      </c>
      <c r="D32" s="1296">
        <f>D33+D34+D35</f>
        <v>136</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25">
      <c r="B33" s="1477">
        <v>20</v>
      </c>
      <c r="C33" s="1289" t="s">
        <v>762</v>
      </c>
      <c r="D33" s="1295">
        <v>120</v>
      </c>
      <c r="E33" s="1558"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25">
      <c r="B34" s="1477">
        <v>21</v>
      </c>
      <c r="C34" s="1289" t="s">
        <v>763</v>
      </c>
      <c r="D34" s="72">
        <v>16</v>
      </c>
      <c r="E34" s="1559"/>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25">
      <c r="A35" s="1292"/>
      <c r="B35" s="1477">
        <f>B34+1</f>
        <v>22</v>
      </c>
      <c r="C35" s="1289" t="s">
        <v>1587</v>
      </c>
      <c r="D35" s="72">
        <v>0</v>
      </c>
      <c r="E35" s="1560"/>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25">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25">
      <c r="A38" s="1292"/>
      <c r="B38" s="1436"/>
      <c r="C38" s="1545" t="s">
        <v>1811</v>
      </c>
      <c r="D38" s="1545"/>
      <c r="E38" s="1545"/>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
      <c r="A39" s="1292"/>
      <c r="B39" s="1478"/>
      <c r="C39" s="1324"/>
      <c r="D39" s="1372" t="s">
        <v>1768</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25">
      <c r="A40" s="1292"/>
      <c r="B40" s="1436"/>
      <c r="C40" s="1541" t="s">
        <v>1813</v>
      </c>
      <c r="D40" s="1541"/>
      <c r="E40" s="1541"/>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
      <c r="B42" s="1476">
        <f>2/8</f>
        <v>0.25</v>
      </c>
      <c r="C42" s="1555" t="s">
        <v>1452</v>
      </c>
      <c r="D42" s="1556"/>
      <c r="E42" s="1557"/>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25">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25">
      <c r="B44" s="1477">
        <f>B36+1</f>
        <v>24</v>
      </c>
      <c r="C44" s="1297" t="s">
        <v>1769</v>
      </c>
      <c r="D44" s="1304">
        <v>3472</v>
      </c>
      <c r="E44" s="1485" t="s">
        <v>1780</v>
      </c>
      <c r="F44" s="1438"/>
      <c r="G44" s="1306">
        <f>IF($D$14=списки!$B$3,D44,'Серии планировка'!F76)</f>
        <v>3472</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25">
      <c r="B45" s="1477">
        <f>B44+1</f>
        <v>25</v>
      </c>
      <c r="C45" s="1294" t="s">
        <v>1770</v>
      </c>
      <c r="D45" s="1304">
        <v>2580</v>
      </c>
      <c r="E45" s="1486" t="s">
        <v>1781</v>
      </c>
      <c r="F45" s="1438" t="str">
        <f>IF(AND(D45&lt;&gt;0,$D$14="нет в списке",D45&gt;=D44),"Ошибка. Значение должно быть меньше общей площади","")</f>
        <v/>
      </c>
      <c r="G45" s="1306">
        <f>IF($D$14=списки!$B$3,D45,'Серии планировка'!G76)</f>
        <v>2580</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25">
      <c r="A46" s="1292"/>
      <c r="B46" s="1477">
        <f t="shared" ref="B46:B66" si="1">B45+1</f>
        <v>26</v>
      </c>
      <c r="C46" s="1518" t="s">
        <v>1779</v>
      </c>
      <c r="D46" s="1304">
        <v>1800</v>
      </c>
      <c r="E46" s="1486" t="s">
        <v>1782</v>
      </c>
      <c r="F46" s="1438" t="str">
        <f>IF(AND(D46&lt;&gt;0,$D$14="нет в списке",D46&gt;=D45),"Ошибка. Значение должно быть меньше площади квартир","")</f>
        <v/>
      </c>
      <c r="G46" s="1306">
        <f>IF($D$14=списки!$B$3,D46,'Серии планировка'!H76)</f>
        <v>1800</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25">
      <c r="A47" s="1292"/>
      <c r="B47" s="1477">
        <f>B46+1</f>
        <v>27</v>
      </c>
      <c r="C47" s="1518" t="s">
        <v>1558</v>
      </c>
      <c r="D47" s="1305">
        <v>60</v>
      </c>
      <c r="E47" s="1486" t="s">
        <v>1560</v>
      </c>
      <c r="F47" s="1438"/>
      <c r="G47" s="1307">
        <f>IF($D$14=списки!$B$3,D47,'Серии планировка'!$L$76)</f>
        <v>60</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25">
      <c r="A48" s="1292"/>
      <c r="B48" s="1477">
        <f t="shared" si="1"/>
        <v>28</v>
      </c>
      <c r="C48" s="1518" t="s">
        <v>1559</v>
      </c>
      <c r="D48" s="1305">
        <v>12</v>
      </c>
      <c r="E48" s="1486" t="s">
        <v>1561</v>
      </c>
      <c r="F48" s="1438"/>
      <c r="G48" s="1306">
        <f>IF($D$14=списки!$B$3,D48,'Серии планировка'!$M$76)</f>
        <v>12</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25">
      <c r="A49" s="1292"/>
      <c r="B49" s="1477">
        <f t="shared" si="1"/>
        <v>29</v>
      </c>
      <c r="C49" s="1518" t="s">
        <v>1557</v>
      </c>
      <c r="D49" s="1305">
        <v>14</v>
      </c>
      <c r="E49" s="1486" t="s">
        <v>1632</v>
      </c>
      <c r="F49" s="1438"/>
      <c r="G49" s="1306">
        <f>IF($D$14=списки!$B$3,D49,'Серии планировка'!$J$76)</f>
        <v>14</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25">
      <c r="A50" s="1292"/>
      <c r="B50" s="1477">
        <f t="shared" si="1"/>
        <v>30</v>
      </c>
      <c r="C50" s="1518" t="s">
        <v>1787</v>
      </c>
      <c r="D50" s="1305">
        <f>(D47+D48)*2*D49</f>
        <v>2016</v>
      </c>
      <c r="E50" s="1486" t="s">
        <v>1786</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2016</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25">
      <c r="B51" s="1477">
        <f t="shared" si="1"/>
        <v>31</v>
      </c>
      <c r="C51" s="1519" t="s">
        <v>1771</v>
      </c>
      <c r="D51" s="1301">
        <f>D50-D53-D56-D59-D66</f>
        <v>1712</v>
      </c>
      <c r="E51" s="1486" t="s">
        <v>1783</v>
      </c>
      <c r="F51" s="1438" t="str">
        <f>IF(AND(D51&lt;&gt;0,$D$14="нет в списке",D51&gt;=D50),"Ошибка. Значение должно быть меньше площади фасадов","")</f>
        <v/>
      </c>
      <c r="G51" s="1308">
        <f>G50-G53-G56-G59-G66</f>
        <v>1712</v>
      </c>
      <c r="H51" s="18"/>
      <c r="I51" s="1306">
        <f t="shared" si="2"/>
        <v>0</v>
      </c>
      <c r="J51" s="10"/>
      <c r="K51" s="10"/>
      <c r="L51" s="18"/>
      <c r="M51" s="18"/>
      <c r="N51" s="18"/>
      <c r="O51" s="18"/>
      <c r="P51" s="18"/>
      <c r="Q51" s="18"/>
      <c r="R51" s="18"/>
      <c r="S51" s="18"/>
      <c r="T51" s="18"/>
      <c r="U51" s="18"/>
      <c r="V51" s="18"/>
      <c r="W51" s="18"/>
      <c r="X51" s="18"/>
      <c r="Y51" s="18"/>
      <c r="Z51" s="18"/>
    </row>
    <row r="52" spans="1:26" ht="36" x14ac:dyDescent="0.25">
      <c r="B52" s="1477">
        <f t="shared" si="1"/>
        <v>32</v>
      </c>
      <c r="C52" s="1294" t="s">
        <v>821</v>
      </c>
      <c r="D52" s="1300">
        <v>150</v>
      </c>
      <c r="E52" s="1486" t="s">
        <v>1784</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150</v>
      </c>
      <c r="H52" s="18"/>
      <c r="I52" s="1306">
        <f t="shared" si="2"/>
        <v>0</v>
      </c>
      <c r="J52" s="10"/>
      <c r="K52" s="10"/>
      <c r="L52" s="18"/>
      <c r="M52" s="18"/>
      <c r="N52" s="18"/>
      <c r="O52" s="18"/>
      <c r="P52" s="18"/>
      <c r="Q52" s="18"/>
      <c r="R52" s="18"/>
      <c r="S52" s="18"/>
      <c r="T52" s="18"/>
      <c r="U52" s="18"/>
      <c r="V52" s="18"/>
      <c r="W52" s="18"/>
      <c r="X52" s="18"/>
      <c r="Y52" s="18"/>
      <c r="Z52" s="18"/>
    </row>
    <row r="53" spans="1:26" ht="17.25" x14ac:dyDescent="0.25">
      <c r="B53" s="1477">
        <f t="shared" si="1"/>
        <v>33</v>
      </c>
      <c r="C53" s="1294" t="s">
        <v>1772</v>
      </c>
      <c r="D53" s="1303">
        <v>280</v>
      </c>
      <c r="E53" s="1486" t="s">
        <v>1785</v>
      </c>
      <c r="F53" s="1438"/>
      <c r="G53" s="1306">
        <f>IF($D$14=списки!$B$3,D53,'Серии планировка'!T76)</f>
        <v>280</v>
      </c>
      <c r="H53" s="18"/>
      <c r="I53" s="1306">
        <f t="shared" si="2"/>
        <v>0</v>
      </c>
      <c r="J53" s="10"/>
      <c r="K53" s="10"/>
      <c r="L53" s="18"/>
      <c r="M53" s="18"/>
      <c r="N53" s="18"/>
      <c r="O53" s="18"/>
      <c r="P53" s="18"/>
      <c r="Q53" s="18"/>
      <c r="R53" s="18"/>
      <c r="S53" s="18"/>
      <c r="T53" s="18"/>
      <c r="U53" s="18"/>
      <c r="V53" s="18"/>
      <c r="W53" s="18"/>
      <c r="X53" s="18"/>
      <c r="Y53" s="18"/>
      <c r="Z53" s="18"/>
    </row>
    <row r="54" spans="1:26" ht="30" x14ac:dyDescent="0.25">
      <c r="B54" s="1477">
        <f t="shared" si="1"/>
        <v>34</v>
      </c>
      <c r="C54" s="1518" t="s">
        <v>1278</v>
      </c>
      <c r="D54" s="1298" t="s">
        <v>1948</v>
      </c>
      <c r="E54" s="1486" t="s">
        <v>1789</v>
      </c>
      <c r="F54" s="1438"/>
      <c r="G54" s="1306">
        <f>'Серии теплотехника'!B46</f>
        <v>0.52</v>
      </c>
      <c r="H54" s="18"/>
      <c r="I54" s="1306">
        <f t="shared" si="2"/>
        <v>0</v>
      </c>
      <c r="J54" s="10"/>
      <c r="K54" s="10"/>
      <c r="L54" s="18"/>
      <c r="M54" s="18"/>
      <c r="N54" s="18"/>
      <c r="O54" s="18"/>
      <c r="P54" s="18"/>
      <c r="Q54" s="18"/>
      <c r="R54" s="18"/>
      <c r="S54" s="18"/>
      <c r="T54" s="18"/>
      <c r="U54" s="18"/>
      <c r="V54" s="18"/>
      <c r="W54" s="18"/>
      <c r="X54" s="18"/>
      <c r="Y54" s="18"/>
      <c r="Z54" s="18"/>
    </row>
    <row r="55" spans="1:26" x14ac:dyDescent="0.25">
      <c r="B55" s="1477">
        <f t="shared" si="1"/>
        <v>35</v>
      </c>
      <c r="C55" s="1518" t="s">
        <v>860</v>
      </c>
      <c r="D55" s="1298">
        <v>16</v>
      </c>
      <c r="E55" s="1486" t="s">
        <v>1922</v>
      </c>
      <c r="F55" s="1438"/>
      <c r="G55" s="1306">
        <f>IF($D$14=списки!$B$3,D55,'Серии планировка'!R76)</f>
        <v>16</v>
      </c>
      <c r="H55" s="18"/>
      <c r="I55" s="1306">
        <f t="shared" si="2"/>
        <v>0</v>
      </c>
      <c r="J55" s="10"/>
      <c r="K55" s="18"/>
      <c r="L55" s="18"/>
      <c r="M55" s="18"/>
      <c r="N55" s="18"/>
      <c r="O55" s="18"/>
      <c r="P55" s="18"/>
      <c r="Q55" s="18"/>
      <c r="R55" s="18"/>
      <c r="S55" s="18"/>
      <c r="T55" s="18"/>
      <c r="U55" s="18"/>
      <c r="V55" s="18"/>
      <c r="W55" s="18"/>
      <c r="X55" s="18"/>
      <c r="Y55" s="18"/>
      <c r="Z55" s="18"/>
    </row>
    <row r="56" spans="1:26" ht="24" x14ac:dyDescent="0.25">
      <c r="B56" s="1477">
        <f t="shared" si="1"/>
        <v>36</v>
      </c>
      <c r="C56" s="1286" t="s">
        <v>1773</v>
      </c>
      <c r="D56" s="1302">
        <v>16</v>
      </c>
      <c r="E56" s="1486" t="s">
        <v>1790</v>
      </c>
      <c r="F56" s="1438"/>
      <c r="G56" s="1306">
        <f>IF($D$14=списки!$B$3,D56,'Серии планировка'!U76)</f>
        <v>16</v>
      </c>
      <c r="H56" s="18"/>
      <c r="I56" s="1306">
        <f t="shared" si="2"/>
        <v>0</v>
      </c>
      <c r="J56" s="10"/>
      <c r="K56" s="10"/>
      <c r="L56" s="18"/>
      <c r="M56" s="18"/>
      <c r="N56" s="18"/>
      <c r="O56" s="18"/>
      <c r="P56" s="18"/>
      <c r="Q56" s="18"/>
      <c r="R56" s="18"/>
      <c r="S56" s="18"/>
      <c r="T56" s="18"/>
      <c r="U56" s="18"/>
      <c r="V56" s="18"/>
      <c r="W56" s="18"/>
      <c r="X56" s="18"/>
      <c r="Y56" s="18"/>
      <c r="Z56" s="18"/>
    </row>
    <row r="57" spans="1:26" ht="30" x14ac:dyDescent="0.25">
      <c r="B57" s="1477">
        <f t="shared" si="1"/>
        <v>37</v>
      </c>
      <c r="C57" s="1518" t="s">
        <v>758</v>
      </c>
      <c r="D57" s="1298" t="s">
        <v>1948</v>
      </c>
      <c r="E57" s="1486" t="s">
        <v>1791</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25">
      <c r="A58" s="1292"/>
      <c r="B58" s="1477">
        <f>B57+1</f>
        <v>38</v>
      </c>
      <c r="C58" s="1518" t="s">
        <v>1592</v>
      </c>
      <c r="D58" s="1299"/>
      <c r="E58" s="1486" t="s">
        <v>1792</v>
      </c>
      <c r="F58" s="1438"/>
      <c r="G58" s="1309">
        <f>IF($D$14=списки!$B$3,D58,ROUND((G52+G55)/D19*D23/('Серии планировка'!F76/'Серии планировка'!D76),0))</f>
        <v>0</v>
      </c>
      <c r="H58" s="18"/>
      <c r="I58" s="1306"/>
      <c r="J58" s="18"/>
      <c r="K58" s="18"/>
      <c r="L58" s="18"/>
      <c r="M58" s="18"/>
      <c r="N58" s="18"/>
      <c r="O58" s="18"/>
      <c r="P58" s="18"/>
      <c r="Q58" s="18"/>
      <c r="R58" s="18"/>
      <c r="S58" s="18"/>
      <c r="T58" s="18"/>
      <c r="U58" s="18"/>
      <c r="V58" s="18"/>
      <c r="W58" s="18"/>
      <c r="X58" s="18"/>
      <c r="Y58" s="18"/>
      <c r="Z58" s="18"/>
    </row>
    <row r="59" spans="1:26" s="17" customFormat="1" ht="24" x14ac:dyDescent="0.25">
      <c r="A59" s="1292"/>
      <c r="B59" s="1477">
        <f>B58+1</f>
        <v>39</v>
      </c>
      <c r="C59" s="1518" t="s">
        <v>1788</v>
      </c>
      <c r="D59" s="1302"/>
      <c r="E59" s="1486" t="s">
        <v>1790</v>
      </c>
      <c r="F59" s="1438"/>
      <c r="G59" s="1309">
        <f>IF($D$14=списки!$B$3,D59,(G53+G56)/D19*D23/('Серии планировка'!F76/'Серии планировка'!D76))</f>
        <v>0</v>
      </c>
      <c r="H59" s="18"/>
      <c r="I59" s="1306"/>
      <c r="J59" s="27"/>
      <c r="K59" s="18"/>
      <c r="L59" s="18"/>
      <c r="M59" s="18"/>
      <c r="N59" s="18"/>
      <c r="O59" s="18"/>
      <c r="P59" s="18"/>
      <c r="Q59" s="18"/>
      <c r="R59" s="18"/>
      <c r="S59" s="18"/>
      <c r="T59" s="18"/>
      <c r="U59" s="18"/>
      <c r="V59" s="18"/>
      <c r="W59" s="18"/>
      <c r="X59" s="18"/>
      <c r="Y59" s="18"/>
      <c r="Z59" s="18"/>
    </row>
    <row r="60" spans="1:26" ht="32.25" x14ac:dyDescent="0.25">
      <c r="B60" s="1477">
        <f t="shared" si="1"/>
        <v>40</v>
      </c>
      <c r="C60" s="1518" t="s">
        <v>1774</v>
      </c>
      <c r="D60" s="1302">
        <f>D48*D47</f>
        <v>720</v>
      </c>
      <c r="E60" s="1486" t="s">
        <v>1795</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720</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25">
      <c r="A61" s="1292"/>
      <c r="B61" s="1477">
        <f t="shared" si="1"/>
        <v>41</v>
      </c>
      <c r="C61" s="1518" t="s">
        <v>1775</v>
      </c>
      <c r="D61" s="1302"/>
      <c r="E61" s="1486" t="s">
        <v>1793</v>
      </c>
      <c r="F61" s="1438"/>
      <c r="G61" s="1306">
        <f>IF($D$14=списки!$B$3,D61,IF(AND(списки!D31=1,списки!D32=0),'Серии планировка'!X76,0))</f>
        <v>0</v>
      </c>
      <c r="H61" s="18"/>
      <c r="I61" s="1306">
        <f t="shared" si="2"/>
        <v>0</v>
      </c>
      <c r="J61" s="18"/>
      <c r="K61" s="18"/>
      <c r="L61" s="18"/>
      <c r="M61" s="18"/>
      <c r="N61" s="18"/>
      <c r="O61" s="18"/>
      <c r="P61" s="18"/>
      <c r="Q61" s="18"/>
      <c r="R61" s="18"/>
      <c r="S61" s="18"/>
      <c r="T61" s="18"/>
      <c r="U61" s="18"/>
      <c r="V61" s="18"/>
      <c r="W61" s="18"/>
      <c r="X61" s="18"/>
      <c r="Y61" s="18"/>
      <c r="Z61" s="18"/>
    </row>
    <row r="62" spans="1:26" ht="36" x14ac:dyDescent="0.25">
      <c r="B62" s="1477">
        <f t="shared" si="1"/>
        <v>42</v>
      </c>
      <c r="C62" s="1518" t="s">
        <v>1776</v>
      </c>
      <c r="D62" s="1302"/>
      <c r="E62" s="1486" t="s">
        <v>1794</v>
      </c>
      <c r="F62" s="1438"/>
      <c r="G62" s="1306">
        <f>IF($D$14=списки!$B$3,D62,IF(AND(списки!D31=1,списки!D32=1),'Серии планировка'!X76,0))</f>
        <v>0</v>
      </c>
      <c r="H62" s="18"/>
      <c r="I62" s="1306">
        <f t="shared" si="2"/>
        <v>0</v>
      </c>
      <c r="J62" s="10"/>
      <c r="K62" s="10"/>
      <c r="L62" s="18"/>
      <c r="M62" s="18"/>
      <c r="N62" s="18"/>
      <c r="O62" s="18"/>
      <c r="P62" s="18"/>
      <c r="Q62" s="18"/>
      <c r="R62" s="18"/>
      <c r="S62" s="18"/>
      <c r="T62" s="18"/>
      <c r="U62" s="18"/>
      <c r="V62" s="18"/>
      <c r="W62" s="18"/>
      <c r="X62" s="18"/>
      <c r="Y62" s="18"/>
      <c r="Z62" s="18"/>
    </row>
    <row r="63" spans="1:26" ht="36" x14ac:dyDescent="0.25">
      <c r="B63" s="1477">
        <f t="shared" si="1"/>
        <v>43</v>
      </c>
      <c r="C63" s="1518" t="s">
        <v>1777</v>
      </c>
      <c r="D63" s="1302">
        <v>720</v>
      </c>
      <c r="E63" s="1486" t="s">
        <v>1796</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720</v>
      </c>
      <c r="H63" s="18"/>
      <c r="I63" s="1306">
        <f t="shared" si="2"/>
        <v>0</v>
      </c>
      <c r="J63" s="10"/>
      <c r="K63" s="10"/>
      <c r="L63" s="18"/>
      <c r="M63" s="18"/>
      <c r="N63" s="18"/>
      <c r="O63" s="18"/>
      <c r="P63" s="18"/>
      <c r="Q63" s="18"/>
      <c r="R63" s="18"/>
      <c r="S63" s="18"/>
      <c r="T63" s="18"/>
      <c r="U63" s="18"/>
      <c r="V63" s="18"/>
      <c r="W63" s="18"/>
      <c r="X63" s="18"/>
      <c r="Y63" s="18"/>
      <c r="Z63" s="18"/>
    </row>
    <row r="64" spans="1:26" s="17" customFormat="1" ht="47.25" x14ac:dyDescent="0.25">
      <c r="A64" s="1292"/>
      <c r="B64" s="1477">
        <f t="shared" si="1"/>
        <v>44</v>
      </c>
      <c r="C64" s="1518" t="s">
        <v>1778</v>
      </c>
      <c r="D64" s="1302"/>
      <c r="E64" s="1486" t="s">
        <v>1797</v>
      </c>
      <c r="F64" s="1438"/>
      <c r="G64" s="1309">
        <f>IF($D$14=списки!$B$3,D64,IF(OR(списки!D33=0,AND(списки!D33=1,списки!D34=1)),'Серии планировка'!Z76,0))</f>
        <v>0</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25">
      <c r="A65" s="1292"/>
      <c r="B65" s="1477">
        <f t="shared" si="1"/>
        <v>45</v>
      </c>
      <c r="C65" s="1518" t="s">
        <v>1336</v>
      </c>
      <c r="D65" s="1299">
        <v>4</v>
      </c>
      <c r="E65" s="1565" t="s">
        <v>1921</v>
      </c>
      <c r="F65" s="1438" t="str">
        <f>IF(AND(D65&lt;&gt;0,$D$14="нет в списке",OR(D65&lt;D17,D65&gt;4*D17)),"Ошибка. Входных дверей может быть от 1 до 3 на секцию (подъезд)","")</f>
        <v/>
      </c>
      <c r="G65" s="1306">
        <f>IF($D$14=списки!$B$3,D65,'Серии планировка'!V76)</f>
        <v>4</v>
      </c>
      <c r="H65" s="18"/>
      <c r="I65" s="1306">
        <f t="shared" si="2"/>
        <v>0</v>
      </c>
      <c r="J65" s="18"/>
      <c r="K65" s="18"/>
      <c r="L65" s="18"/>
      <c r="M65" s="18"/>
      <c r="N65" s="18"/>
      <c r="O65" s="18"/>
      <c r="P65" s="18"/>
      <c r="Q65" s="18"/>
      <c r="R65" s="18"/>
      <c r="S65" s="18"/>
      <c r="T65" s="18"/>
      <c r="U65" s="18"/>
      <c r="V65" s="18"/>
      <c r="W65" s="18"/>
      <c r="X65" s="18"/>
      <c r="Y65" s="18"/>
      <c r="Z65" s="18"/>
    </row>
    <row r="66" spans="1:26" s="8" customFormat="1" ht="17.25" x14ac:dyDescent="0.25">
      <c r="A66" s="1292"/>
      <c r="B66" s="1477">
        <f t="shared" si="1"/>
        <v>46</v>
      </c>
      <c r="C66" s="1518" t="s">
        <v>1798</v>
      </c>
      <c r="D66" s="1302">
        <v>8</v>
      </c>
      <c r="E66" s="1566"/>
      <c r="F66" s="1438" t="str">
        <f>IF(AND(D66&lt;&gt;0,$D$14="нет в списке",OR(D66&lt;D65*2,D66&gt;=6*D65)),"Ошибка. Площадь одной входной двери должна быть в пределах 2-5 м2","")</f>
        <v/>
      </c>
      <c r="G66" s="1306">
        <f>IF($D$14=списки!$B$3,D66,'Серии планировка'!W76)</f>
        <v>8</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25">
      <c r="B67" s="1436"/>
      <c r="C67" s="1"/>
      <c r="D67" s="1522"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x14ac:dyDescent="0.25">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25">
      <c r="A69" s="1292"/>
      <c r="B69" s="1436"/>
      <c r="C69" s="1555" t="s">
        <v>1799</v>
      </c>
      <c r="D69" s="1556"/>
      <c r="E69" s="1557"/>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25">
      <c r="A70" s="1292"/>
      <c r="B70" s="1477">
        <f>B66+1</f>
        <v>47</v>
      </c>
      <c r="C70" s="1313" t="s">
        <v>514</v>
      </c>
      <c r="D70" s="70"/>
      <c r="E70" s="1561"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25">
      <c r="A71" s="1292"/>
      <c r="B71" s="1477">
        <f>B70+1</f>
        <v>48</v>
      </c>
      <c r="C71" s="1313" t="s">
        <v>1583</v>
      </c>
      <c r="D71" s="70"/>
      <c r="E71" s="1562"/>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25">
      <c r="A72" s="1292"/>
      <c r="B72" s="1477">
        <f t="shared" ref="B72:B76" si="3">B71+1</f>
        <v>49</v>
      </c>
      <c r="C72" s="1313" t="s">
        <v>1584</v>
      </c>
      <c r="D72" s="70"/>
      <c r="E72" s="1562"/>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25">
      <c r="A73" s="1292"/>
      <c r="B73" s="1477">
        <f t="shared" si="3"/>
        <v>50</v>
      </c>
      <c r="C73" s="1313" t="s">
        <v>1588</v>
      </c>
      <c r="D73" s="70"/>
      <c r="E73" s="1562"/>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25">
      <c r="A74" s="1292"/>
      <c r="B74" s="1477">
        <f t="shared" si="3"/>
        <v>51</v>
      </c>
      <c r="C74" s="1313" t="s">
        <v>1585</v>
      </c>
      <c r="D74" s="70"/>
      <c r="E74" s="1562"/>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25">
      <c r="A75" s="1292"/>
      <c r="B75" s="1477">
        <f t="shared" si="3"/>
        <v>52</v>
      </c>
      <c r="C75" s="1313" t="s">
        <v>1586</v>
      </c>
      <c r="D75" s="70"/>
      <c r="E75" s="1562"/>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25">
      <c r="A76" s="1292"/>
      <c r="B76" s="1477">
        <f t="shared" si="3"/>
        <v>53</v>
      </c>
      <c r="C76" s="1313" t="s">
        <v>1594</v>
      </c>
      <c r="D76" s="70"/>
      <c r="E76" s="1563"/>
      <c r="F76" s="74"/>
      <c r="G76" s="18"/>
      <c r="H76" s="18"/>
      <c r="I76" s="18"/>
      <c r="J76" s="18"/>
      <c r="K76" s="18"/>
      <c r="L76" s="18"/>
      <c r="M76" s="18"/>
      <c r="N76" s="18"/>
      <c r="O76" s="18"/>
      <c r="P76" s="18"/>
      <c r="Q76" s="18"/>
      <c r="R76" s="18"/>
      <c r="S76" s="18"/>
      <c r="T76" s="18"/>
      <c r="U76" s="18"/>
      <c r="V76" s="18"/>
      <c r="W76" s="18"/>
      <c r="X76" s="18"/>
      <c r="Y76" s="18"/>
      <c r="Z76" s="18"/>
    </row>
    <row r="77" spans="1:26" x14ac:dyDescent="0.25">
      <c r="B77" s="1436"/>
      <c r="C77" s="1310" t="s">
        <v>1753</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
      <c r="A79" s="1375"/>
      <c r="B79" s="1476">
        <f>3/8</f>
        <v>0.375</v>
      </c>
      <c r="C79" s="1543" t="s">
        <v>1828</v>
      </c>
      <c r="D79" s="1543"/>
      <c r="E79" s="1543"/>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
      <c r="B80" s="1436"/>
      <c r="C80" s="1567" t="s">
        <v>766</v>
      </c>
      <c r="D80" s="1567"/>
      <c r="E80" s="1567"/>
      <c r="F80" s="74"/>
      <c r="G80" s="1"/>
      <c r="H80" s="1"/>
      <c r="I80" s="1"/>
      <c r="J80" s="10"/>
      <c r="K80" s="10"/>
      <c r="L80" s="18"/>
      <c r="M80" s="18"/>
      <c r="N80" s="18"/>
      <c r="O80" s="18"/>
      <c r="P80" s="18"/>
      <c r="Q80" s="18"/>
      <c r="R80" s="18"/>
      <c r="S80" s="18"/>
      <c r="T80" s="18"/>
      <c r="U80" s="18"/>
      <c r="V80" s="18"/>
      <c r="W80" s="18"/>
      <c r="X80" s="18"/>
      <c r="Y80" s="18"/>
      <c r="Z80" s="18"/>
    </row>
    <row r="81" spans="2:26" x14ac:dyDescent="0.25">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25">
      <c r="B82" s="1436"/>
      <c r="C82" s="1549" t="s">
        <v>764</v>
      </c>
      <c r="D82" s="1549"/>
      <c r="E82" s="1549"/>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25">
      <c r="B83" s="1477">
        <f>B76+1</f>
        <v>54</v>
      </c>
      <c r="C83" s="1286" t="s">
        <v>1803</v>
      </c>
      <c r="D83" s="69">
        <v>18</v>
      </c>
      <c r="E83" s="1311" t="s">
        <v>1800</v>
      </c>
      <c r="F83" s="74"/>
      <c r="G83" s="1"/>
      <c r="H83" s="1"/>
      <c r="I83" s="1"/>
      <c r="J83" s="10"/>
      <c r="K83" s="10"/>
      <c r="L83" s="18"/>
      <c r="M83" s="18"/>
      <c r="N83" s="18"/>
      <c r="O83" s="18"/>
      <c r="P83" s="18"/>
      <c r="Q83" s="18"/>
      <c r="R83" s="18"/>
      <c r="S83" s="18"/>
      <c r="T83" s="18"/>
      <c r="U83" s="18"/>
      <c r="V83" s="18"/>
      <c r="W83" s="18"/>
      <c r="X83" s="18"/>
      <c r="Y83" s="18"/>
      <c r="Z83" s="18"/>
    </row>
    <row r="84" spans="2:26" ht="49.5" x14ac:dyDescent="0.25">
      <c r="B84" s="1477">
        <f>B83+1</f>
        <v>55</v>
      </c>
      <c r="C84" s="1286" t="s">
        <v>1805</v>
      </c>
      <c r="D84" s="1314">
        <v>14</v>
      </c>
      <c r="E84" s="1312" t="s">
        <v>1802</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25">
      <c r="B85" s="1477">
        <f>B84+1</f>
        <v>56</v>
      </c>
      <c r="C85" s="1286" t="s">
        <v>1804</v>
      </c>
      <c r="D85" s="69">
        <v>7</v>
      </c>
      <c r="E85" s="1312" t="s">
        <v>1801</v>
      </c>
      <c r="F85" s="74"/>
      <c r="G85" s="1"/>
      <c r="H85" s="1"/>
      <c r="I85" s="1"/>
      <c r="J85" s="10"/>
      <c r="K85" s="10"/>
      <c r="L85" s="18"/>
      <c r="M85" s="18"/>
      <c r="N85" s="18"/>
      <c r="O85" s="18"/>
      <c r="P85" s="18"/>
      <c r="Q85" s="18"/>
      <c r="R85" s="18"/>
      <c r="S85" s="18"/>
      <c r="T85" s="18"/>
      <c r="U85" s="18"/>
      <c r="V85" s="18"/>
      <c r="W85" s="18"/>
      <c r="X85" s="18"/>
      <c r="Y85" s="18"/>
      <c r="Z85" s="18"/>
    </row>
    <row r="86" spans="2:26" x14ac:dyDescent="0.25">
      <c r="B86" s="1436"/>
      <c r="C86" s="1542" t="str">
        <f>IF(OR(D83="",D84="",D85=""),"Введите температуры, пользуясь подсказками. Если чердак или подвал отсутствуют, оставьте любое из предлагаемых значений","")</f>
        <v/>
      </c>
      <c r="D86" s="1542"/>
      <c r="E86" s="1542"/>
      <c r="F86" s="74"/>
      <c r="G86" s="1"/>
      <c r="H86" s="1"/>
      <c r="I86" s="1"/>
      <c r="J86" s="10"/>
      <c r="K86" s="10"/>
      <c r="L86" s="18"/>
      <c r="M86" s="18"/>
      <c r="N86" s="18"/>
      <c r="O86" s="18"/>
      <c r="P86" s="18"/>
      <c r="Q86" s="18"/>
      <c r="R86" s="18"/>
      <c r="S86" s="18"/>
      <c r="T86" s="18"/>
      <c r="U86" s="18"/>
      <c r="V86" s="18"/>
      <c r="W86" s="18"/>
      <c r="X86" s="18"/>
      <c r="Y86" s="18"/>
      <c r="Z86" s="18"/>
    </row>
    <row r="87" spans="2:26" x14ac:dyDescent="0.25">
      <c r="B87" s="1436"/>
      <c r="C87" s="1293" t="s">
        <v>765</v>
      </c>
      <c r="D87" s="1"/>
      <c r="E87" s="1293" t="s">
        <v>1812</v>
      </c>
      <c r="F87" s="74"/>
      <c r="G87" s="1"/>
      <c r="H87" s="1"/>
      <c r="I87" s="1"/>
      <c r="J87" s="10"/>
      <c r="K87" s="10"/>
      <c r="L87" s="18"/>
      <c r="M87" s="18"/>
      <c r="N87" s="18"/>
      <c r="O87" s="18"/>
      <c r="P87" s="18"/>
      <c r="Q87" s="18"/>
      <c r="R87" s="18"/>
      <c r="S87" s="18"/>
      <c r="T87" s="18"/>
      <c r="U87" s="18"/>
      <c r="V87" s="18"/>
      <c r="W87" s="18"/>
      <c r="X87" s="18"/>
      <c r="Y87" s="18"/>
      <c r="Z87" s="18"/>
    </row>
    <row r="88" spans="2:26" x14ac:dyDescent="0.25">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25">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25">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25">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25">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25">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25">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x14ac:dyDescent="0.25">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
      <c r="B96" s="1436"/>
      <c r="C96" s="1547" t="s">
        <v>784</v>
      </c>
      <c r="D96" s="1547"/>
      <c r="E96" s="1547"/>
      <c r="F96" s="74"/>
      <c r="G96" s="1"/>
      <c r="H96" s="1"/>
      <c r="I96" s="1"/>
      <c r="J96" s="10"/>
      <c r="K96" s="10"/>
      <c r="L96" s="18"/>
      <c r="M96" s="18"/>
      <c r="N96" s="18"/>
      <c r="O96" s="18"/>
      <c r="P96" s="18"/>
      <c r="Q96" s="18"/>
      <c r="R96" s="18"/>
      <c r="S96" s="18"/>
      <c r="T96" s="18"/>
      <c r="U96" s="18"/>
      <c r="V96" s="18"/>
      <c r="W96" s="18"/>
      <c r="X96" s="18"/>
      <c r="Y96" s="18"/>
      <c r="Z96" s="18"/>
    </row>
    <row r="97" spans="1:26" x14ac:dyDescent="0.25">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25">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x14ac:dyDescent="0.25">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25">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25">
      <c r="B106" s="1436"/>
      <c r="C106" s="1549" t="s">
        <v>785</v>
      </c>
      <c r="D106" s="1549"/>
      <c r="E106" s="1549"/>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25">
      <c r="B107" s="1477">
        <f>D99+1</f>
        <v>61</v>
      </c>
      <c r="C107" s="1500" t="s">
        <v>1912</v>
      </c>
      <c r="D107" s="68">
        <v>60</v>
      </c>
      <c r="E107" s="1316" t="s">
        <v>1918</v>
      </c>
      <c r="F107" s="74"/>
      <c r="G107" s="1"/>
      <c r="H107" s="1"/>
      <c r="I107" s="1"/>
      <c r="J107" s="10"/>
      <c r="K107" s="10"/>
      <c r="L107" s="18"/>
      <c r="M107" s="18"/>
      <c r="N107" s="18"/>
      <c r="O107" s="18"/>
      <c r="P107" s="18"/>
      <c r="Q107" s="18"/>
      <c r="R107" s="18"/>
      <c r="S107" s="18"/>
      <c r="T107" s="18"/>
      <c r="U107" s="18"/>
      <c r="V107" s="18"/>
      <c r="W107" s="18"/>
      <c r="X107" s="18"/>
      <c r="Y107" s="18"/>
      <c r="Z107" s="18"/>
    </row>
    <row r="108" spans="1:26" ht="32.25" x14ac:dyDescent="0.25">
      <c r="B108" s="1477">
        <f>B107+1</f>
        <v>62</v>
      </c>
      <c r="C108" s="1286" t="s">
        <v>1806</v>
      </c>
      <c r="D108" s="68">
        <v>5</v>
      </c>
      <c r="E108" s="1316" t="s">
        <v>1808</v>
      </c>
      <c r="F108" s="74"/>
      <c r="G108" s="1"/>
      <c r="H108" s="1"/>
      <c r="I108" s="1"/>
      <c r="J108" s="10"/>
      <c r="K108" s="10"/>
      <c r="L108" s="18"/>
      <c r="M108" s="18"/>
      <c r="N108" s="18"/>
      <c r="O108" s="18"/>
      <c r="P108" s="18"/>
      <c r="Q108" s="18"/>
      <c r="R108" s="18"/>
      <c r="S108" s="18"/>
      <c r="T108" s="18"/>
      <c r="U108" s="18"/>
      <c r="V108" s="18"/>
      <c r="W108" s="18"/>
      <c r="X108" s="18"/>
      <c r="Y108" s="18"/>
      <c r="Z108" s="18"/>
    </row>
    <row r="109" spans="1:26" ht="32.25" x14ac:dyDescent="0.25">
      <c r="B109" s="1477">
        <f t="shared" ref="B109:B112" si="4">B108+1</f>
        <v>63</v>
      </c>
      <c r="C109" s="1286" t="s">
        <v>1807</v>
      </c>
      <c r="D109" s="68">
        <v>15</v>
      </c>
      <c r="E109" s="1316" t="s">
        <v>1809</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25">
      <c r="B110" s="1477">
        <f t="shared" si="4"/>
        <v>64</v>
      </c>
      <c r="C110" s="1317" t="s">
        <v>1810</v>
      </c>
      <c r="D110" s="68">
        <v>14</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ht="30" x14ac:dyDescent="0.25">
      <c r="B111" s="1477">
        <f t="shared" si="4"/>
        <v>65</v>
      </c>
      <c r="C111" s="1317" t="s">
        <v>786</v>
      </c>
      <c r="D111" s="68" t="s">
        <v>807</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5" x14ac:dyDescent="0.25">
      <c r="B112" s="1477">
        <f t="shared" si="4"/>
        <v>66</v>
      </c>
      <c r="C112" s="1317" t="s">
        <v>788</v>
      </c>
      <c r="D112" s="68">
        <f>0.9</f>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7.25" x14ac:dyDescent="0.25">
      <c r="B113" s="1501" t="s">
        <v>1919</v>
      </c>
      <c r="C113" s="1286" t="s">
        <v>1920</v>
      </c>
      <c r="D113" s="68">
        <v>8</v>
      </c>
      <c r="E113" s="1316" t="s">
        <v>1923</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25">
      <c r="B114" s="1436"/>
      <c r="C114" s="1548" t="str">
        <f>IF(OR(C107="",D107="",D108="",D109="",D110="",D111="",D112=""),"Заполните таблицу","")</f>
        <v/>
      </c>
      <c r="D114" s="1548"/>
      <c r="E114" s="1548"/>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25">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25">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25">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25">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25">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25">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25">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25">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25">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
      <c r="A127" s="1292"/>
      <c r="B127" s="1436"/>
      <c r="C127" s="1547" t="s">
        <v>972</v>
      </c>
      <c r="D127" s="1547"/>
      <c r="E127" s="1547"/>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25">
      <c r="A129" s="1292"/>
      <c r="B129" s="1436"/>
      <c r="C129" s="1535" t="s">
        <v>1003</v>
      </c>
      <c r="D129" s="1535"/>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25">
      <c r="A130" s="1292"/>
      <c r="B130" s="1436"/>
      <c r="C130" s="1332" t="s">
        <v>1814</v>
      </c>
      <c r="D130" s="1332" t="s">
        <v>1903</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25">
      <c r="A131" s="1292"/>
      <c r="B131" s="1477">
        <f>B125+1</f>
        <v>70</v>
      </c>
      <c r="C131" s="1328" t="s">
        <v>1817</v>
      </c>
      <c r="D131" s="1330">
        <v>2920</v>
      </c>
      <c r="E131" s="1550" t="s">
        <v>983</v>
      </c>
      <c r="F131" s="1331" t="s">
        <v>977</v>
      </c>
      <c r="G131" s="68">
        <v>4</v>
      </c>
      <c r="H131" s="68">
        <v>200</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25">
      <c r="A132" s="1292"/>
      <c r="B132" s="1477">
        <f>B131+1</f>
        <v>71</v>
      </c>
      <c r="C132" s="1328" t="s">
        <v>1818</v>
      </c>
      <c r="D132" s="1330">
        <v>2920</v>
      </c>
      <c r="E132" s="1551"/>
      <c r="F132" s="1331" t="s">
        <v>977</v>
      </c>
      <c r="G132" s="68">
        <v>40</v>
      </c>
      <c r="H132" s="68">
        <v>150</v>
      </c>
      <c r="I132" s="1331" t="s">
        <v>467</v>
      </c>
      <c r="J132" s="18"/>
      <c r="K132" s="18"/>
      <c r="L132" s="18"/>
      <c r="M132" s="18"/>
      <c r="N132" s="18"/>
      <c r="O132" s="18"/>
      <c r="P132" s="18"/>
      <c r="Q132" s="18"/>
      <c r="R132" s="18"/>
      <c r="S132" s="18"/>
      <c r="T132" s="18"/>
      <c r="U132" s="18"/>
      <c r="V132" s="18"/>
      <c r="W132" s="18"/>
      <c r="X132" s="18"/>
      <c r="Y132" s="18"/>
      <c r="Z132" s="18"/>
    </row>
    <row r="133" spans="1:26" s="17" customFormat="1" ht="38.25" x14ac:dyDescent="0.25">
      <c r="A133" s="1292"/>
      <c r="B133" s="1477">
        <f t="shared" ref="B133:B135" si="5">B132+1</f>
        <v>72</v>
      </c>
      <c r="C133" s="1328" t="s">
        <v>1819</v>
      </c>
      <c r="D133" s="1330">
        <v>4380</v>
      </c>
      <c r="E133" s="1520" t="s">
        <v>986</v>
      </c>
      <c r="F133" s="1331" t="s">
        <v>977</v>
      </c>
      <c r="G133" s="68">
        <v>40</v>
      </c>
      <c r="H133" s="68">
        <v>150</v>
      </c>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25">
      <c r="A134" s="1292"/>
      <c r="B134" s="1477">
        <f t="shared" si="5"/>
        <v>73</v>
      </c>
      <c r="C134" s="1328" t="s">
        <v>1816</v>
      </c>
      <c r="D134" s="1330">
        <v>300</v>
      </c>
      <c r="E134" s="1520" t="s">
        <v>987</v>
      </c>
      <c r="F134" s="1331" t="s">
        <v>977</v>
      </c>
      <c r="G134" s="68"/>
      <c r="H134" s="68"/>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25">
      <c r="A135" s="1292"/>
      <c r="B135" s="1477">
        <f t="shared" si="5"/>
        <v>74</v>
      </c>
      <c r="C135" s="1328" t="s">
        <v>1469</v>
      </c>
      <c r="D135" s="1330">
        <v>100</v>
      </c>
      <c r="E135" s="1520" t="s">
        <v>988</v>
      </c>
      <c r="F135" s="1331" t="s">
        <v>977</v>
      </c>
      <c r="G135" s="68"/>
      <c r="H135" s="68"/>
      <c r="I135" s="1331" t="s">
        <v>467</v>
      </c>
      <c r="J135" s="18"/>
      <c r="K135" s="18"/>
      <c r="L135" s="18"/>
      <c r="M135" s="18"/>
      <c r="N135" s="18"/>
      <c r="O135" s="18"/>
      <c r="P135" s="18"/>
      <c r="Q135" s="18"/>
      <c r="R135" s="18"/>
      <c r="S135" s="18"/>
      <c r="T135" s="18"/>
      <c r="U135" s="18"/>
      <c r="V135" s="18"/>
      <c r="W135" s="18"/>
      <c r="X135" s="18"/>
      <c r="Y135" s="18"/>
      <c r="Z135" s="18"/>
    </row>
    <row r="136" spans="1:26" s="8" customFormat="1" x14ac:dyDescent="0.25">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25">
      <c r="A137" s="1292"/>
      <c r="B137" s="1436"/>
      <c r="C137" s="1535" t="s">
        <v>1470</v>
      </c>
      <c r="D137" s="1535"/>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25">
      <c r="A138" s="1292"/>
      <c r="B138" s="1477">
        <f>B135+1</f>
        <v>75</v>
      </c>
      <c r="C138" s="1285" t="s">
        <v>989</v>
      </c>
      <c r="D138" s="68"/>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5" x14ac:dyDescent="0.25">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25">
      <c r="A140" s="1292"/>
      <c r="B140" s="1477">
        <f t="shared" ref="B140:B141" si="6">B139+1</f>
        <v>77</v>
      </c>
      <c r="C140" s="1285" t="s">
        <v>1280</v>
      </c>
      <c r="D140" s="68"/>
      <c r="E140" s="1334"/>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5.5" x14ac:dyDescent="0.25">
      <c r="A141" s="1292"/>
      <c r="B141" s="1477">
        <f t="shared" si="6"/>
        <v>78</v>
      </c>
      <c r="C141" s="1285" t="s">
        <v>1900</v>
      </c>
      <c r="D141" s="68">
        <v>2200</v>
      </c>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25">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25">
      <c r="A143" s="1292"/>
      <c r="B143" s="1436"/>
      <c r="C143" s="1535" t="s">
        <v>1471</v>
      </c>
      <c r="D143" s="1535"/>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25">
      <c r="A144" s="1292"/>
      <c r="B144" s="1477">
        <f>B141+1</f>
        <v>79</v>
      </c>
      <c r="C144" s="1338" t="s">
        <v>1820</v>
      </c>
      <c r="D144" s="1340"/>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5" x14ac:dyDescent="0.25">
      <c r="A145" s="1292"/>
      <c r="B145" s="1477">
        <f>B144+1</f>
        <v>80</v>
      </c>
      <c r="C145" s="1339" t="s">
        <v>1299</v>
      </c>
      <c r="D145" s="1341"/>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25">
      <c r="A146" s="1292"/>
      <c r="B146" s="1477">
        <f t="shared" ref="B146:B155" si="7">B145+1</f>
        <v>81</v>
      </c>
      <c r="C146" s="1336" t="s">
        <v>1320</v>
      </c>
      <c r="D146" s="1341"/>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38.25" x14ac:dyDescent="0.25">
      <c r="A147" s="1292"/>
      <c r="B147" s="1477">
        <f t="shared" si="7"/>
        <v>82</v>
      </c>
      <c r="C147" s="1337" t="s">
        <v>1901</v>
      </c>
      <c r="D147" s="1342">
        <f>IFERROR('Расчет базового уровня'!D146*24,"")</f>
        <v>5304</v>
      </c>
      <c r="E147" s="1490" t="s">
        <v>1866</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30" x14ac:dyDescent="0.25">
      <c r="A148" s="1292"/>
      <c r="B148" s="1477">
        <f t="shared" si="7"/>
        <v>83</v>
      </c>
      <c r="C148" s="1338" t="s">
        <v>1520</v>
      </c>
      <c r="D148" s="1340"/>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5" x14ac:dyDescent="0.25">
      <c r="A149" s="1292"/>
      <c r="B149" s="1477">
        <f>B148+1</f>
        <v>84</v>
      </c>
      <c r="C149" s="1339" t="s">
        <v>1299</v>
      </c>
      <c r="D149" s="1341"/>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25">
      <c r="A150" s="1292"/>
      <c r="B150" s="1477">
        <f t="shared" si="7"/>
        <v>85</v>
      </c>
      <c r="C150" s="1336" t="s">
        <v>1320</v>
      </c>
      <c r="D150" s="1341"/>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25">
      <c r="A151" s="1292"/>
      <c r="B151" s="1477">
        <f t="shared" si="7"/>
        <v>86</v>
      </c>
      <c r="C151" s="1337" t="s">
        <v>1901</v>
      </c>
      <c r="D151" s="1342">
        <f>(365-D110)*24</f>
        <v>8424</v>
      </c>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30" x14ac:dyDescent="0.25">
      <c r="A152" s="1292"/>
      <c r="B152" s="1477">
        <f t="shared" si="7"/>
        <v>87</v>
      </c>
      <c r="C152" s="1338" t="s">
        <v>1335</v>
      </c>
      <c r="D152" s="1340"/>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5" x14ac:dyDescent="0.25">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25">
      <c r="A154" s="1292"/>
      <c r="B154" s="1477">
        <f t="shared" si="7"/>
        <v>89</v>
      </c>
      <c r="C154" s="1336" t="s">
        <v>1320</v>
      </c>
      <c r="D154" s="1341"/>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25">
      <c r="A155" s="1292"/>
      <c r="B155" s="1477">
        <f t="shared" si="7"/>
        <v>90</v>
      </c>
      <c r="C155" s="1337" t="s">
        <v>1901</v>
      </c>
      <c r="D155" s="1342">
        <v>8760</v>
      </c>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25">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25">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25">
      <c r="A158" s="1292"/>
      <c r="B158" s="1436"/>
      <c r="C158" s="1552" t="s">
        <v>1472</v>
      </c>
      <c r="D158" s="1552"/>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25">
      <c r="A159" s="1292"/>
      <c r="B159" s="1477">
        <f>B155+1</f>
        <v>91</v>
      </c>
      <c r="C159" s="1285" t="s">
        <v>1385</v>
      </c>
      <c r="D159" s="68"/>
      <c r="E159" s="1553"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25">
      <c r="A160" s="1292"/>
      <c r="B160" s="1477">
        <f>B159+1</f>
        <v>92</v>
      </c>
      <c r="C160" s="1328" t="s">
        <v>1902</v>
      </c>
      <c r="D160" s="68"/>
      <c r="E160" s="1554"/>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25">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50000000000003" customHeight="1" thickBot="1" x14ac:dyDescent="0.3">
      <c r="A163" s="1292"/>
      <c r="B163" s="1476">
        <f>4/8</f>
        <v>0.5</v>
      </c>
      <c r="C163" s="1543" t="s">
        <v>1829</v>
      </c>
      <c r="D163" s="1543"/>
      <c r="E163" s="1543"/>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25">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25">
      <c r="A165" s="1292"/>
      <c r="B165" s="1477">
        <f>B160+1</f>
        <v>93</v>
      </c>
      <c r="C165" s="1346" t="s">
        <v>1823</v>
      </c>
      <c r="D165" s="1524"/>
      <c r="E165" s="1606"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25">
      <c r="A166" s="1292"/>
      <c r="B166" s="1477">
        <f>B165+1</f>
        <v>94</v>
      </c>
      <c r="C166" s="1347" t="s">
        <v>1822</v>
      </c>
      <c r="D166" s="1524"/>
      <c r="E166" s="1607"/>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25">
      <c r="A167" s="1292"/>
      <c r="B167" s="1477">
        <f t="shared" ref="B167:B168" si="8">B166+1</f>
        <v>95</v>
      </c>
      <c r="C167" s="1347" t="s">
        <v>1825</v>
      </c>
      <c r="D167" s="1524"/>
      <c r="E167" s="1607"/>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5" x14ac:dyDescent="0.25">
      <c r="A168" s="1292"/>
      <c r="B168" s="1477">
        <f t="shared" si="8"/>
        <v>96</v>
      </c>
      <c r="C168" s="1348" t="s">
        <v>1824</v>
      </c>
      <c r="D168" s="68"/>
      <c r="E168" s="1608"/>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25">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25">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25">
      <c r="A171" s="1292"/>
      <c r="B171" s="1477"/>
      <c r="C171" s="1616" t="s">
        <v>1821</v>
      </c>
      <c r="D171" s="1617"/>
      <c r="E171" s="1606"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2.25" x14ac:dyDescent="0.25">
      <c r="A172" s="1292"/>
      <c r="B172" s="1477">
        <v>97</v>
      </c>
      <c r="C172" s="1344" t="s">
        <v>992</v>
      </c>
      <c r="D172" s="68"/>
      <c r="E172" s="1607"/>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2.25" x14ac:dyDescent="0.25">
      <c r="A173" s="1292"/>
      <c r="B173" s="1477">
        <f t="shared" ref="B173" si="9">B172+1</f>
        <v>98</v>
      </c>
      <c r="C173" s="1344" t="s">
        <v>993</v>
      </c>
      <c r="D173" s="68"/>
      <c r="E173" s="1608"/>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25">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25">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25">
      <c r="A176" s="1292"/>
      <c r="B176" s="1477"/>
      <c r="C176" s="1616" t="s">
        <v>994</v>
      </c>
      <c r="D176" s="1617"/>
      <c r="E176" s="1606"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2.25" x14ac:dyDescent="0.25">
      <c r="A177" s="1292"/>
      <c r="B177" s="1477">
        <v>99</v>
      </c>
      <c r="C177" s="1286" t="s">
        <v>1826</v>
      </c>
      <c r="D177" s="69">
        <v>115</v>
      </c>
      <c r="E177" s="1607"/>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2.25" x14ac:dyDescent="0.25">
      <c r="A178" s="1292"/>
      <c r="B178" s="1477">
        <f t="shared" ref="B178" si="10">B177+1</f>
        <v>100</v>
      </c>
      <c r="C178" s="1286" t="s">
        <v>1827</v>
      </c>
      <c r="D178" s="69">
        <v>70</v>
      </c>
      <c r="E178" s="1608"/>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25">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25">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25">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25">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25">
      <c r="A183" s="1292"/>
      <c r="B183" s="1475"/>
      <c r="C183" s="1613" t="s">
        <v>1833</v>
      </c>
      <c r="D183" s="1613"/>
      <c r="E183" s="1613"/>
      <c r="F183" s="1613"/>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5" customHeight="1" x14ac:dyDescent="0.25">
      <c r="A184" s="1292"/>
      <c r="B184" s="1475"/>
      <c r="C184" s="1585" t="s">
        <v>995</v>
      </c>
      <c r="D184" s="1611" t="s">
        <v>996</v>
      </c>
      <c r="E184" s="1612"/>
      <c r="F184" s="1612"/>
      <c r="G184" s="74"/>
      <c r="H184" s="74"/>
      <c r="I184" s="74"/>
      <c r="J184" s="1610" t="s">
        <v>1528</v>
      </c>
      <c r="K184" s="1610"/>
      <c r="L184" s="18"/>
      <c r="M184" s="18"/>
      <c r="N184" s="18"/>
      <c r="O184" s="18"/>
      <c r="P184" s="18"/>
      <c r="Q184" s="18"/>
      <c r="R184" s="18"/>
      <c r="S184" s="18"/>
      <c r="T184" s="18"/>
      <c r="U184" s="18"/>
      <c r="V184" s="18"/>
      <c r="W184" s="18"/>
      <c r="X184" s="18"/>
      <c r="Y184" s="18"/>
      <c r="Z184" s="18"/>
    </row>
    <row r="185" spans="1:26" s="8" customFormat="1" ht="47.25" x14ac:dyDescent="0.25">
      <c r="A185" s="1292"/>
      <c r="B185" s="1475"/>
      <c r="C185" s="1585"/>
      <c r="D185" s="1349" t="s">
        <v>1832</v>
      </c>
      <c r="E185" s="1349" t="s">
        <v>1831</v>
      </c>
      <c r="F185" s="1349" t="s">
        <v>1830</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25">
      <c r="A186" s="1292"/>
      <c r="B186" s="1477">
        <f>B178+1</f>
        <v>101</v>
      </c>
      <c r="C186" s="1351" t="s">
        <v>488</v>
      </c>
      <c r="D186" s="1514">
        <f>E186+F186</f>
        <v>78.343000000000004</v>
      </c>
      <c r="E186" s="1514">
        <v>78.343000000000004</v>
      </c>
      <c r="F186" s="1514"/>
      <c r="G186" s="1544"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78.343000000000004</v>
      </c>
      <c r="K186" s="1444">
        <f>IF('Система ГВС'!F3=2,0,IF(F186=0,(F206*(1+IF($C$107=списки!$Y$54,'Расчет базового уровня'!$D$176,0))*($D$107-IF(F252&gt;150,$D$108,$D$109))+E206*$D$113)/1000,F186))</f>
        <v>16.293749999999999</v>
      </c>
      <c r="L186" s="18"/>
      <c r="M186" s="18"/>
      <c r="N186" s="18"/>
      <c r="O186" s="18"/>
      <c r="P186" s="18"/>
      <c r="Q186" s="18"/>
      <c r="R186" s="18"/>
      <c r="S186" s="18"/>
      <c r="T186" s="18"/>
      <c r="U186" s="18"/>
      <c r="V186" s="18"/>
      <c r="W186" s="18"/>
      <c r="X186" s="18"/>
      <c r="Y186" s="18"/>
      <c r="Z186" s="18"/>
    </row>
    <row r="187" spans="1:26" s="8" customFormat="1" ht="15" customHeight="1" x14ac:dyDescent="0.25">
      <c r="A187" s="1292"/>
      <c r="B187" s="1477">
        <f>B186+1</f>
        <v>102</v>
      </c>
      <c r="C187" s="1352" t="s">
        <v>489</v>
      </c>
      <c r="D187" s="1515">
        <f t="shared" ref="D187:D197" si="11">E187+F187</f>
        <v>77</v>
      </c>
      <c r="E187" s="1515">
        <v>77</v>
      </c>
      <c r="F187" s="1515"/>
      <c r="G187" s="1544"/>
      <c r="H187" s="74"/>
      <c r="I187" s="74"/>
      <c r="J187" s="1443">
        <f t="shared" ref="J187:J197" si="12">IF(E187="",D187-K187,E187)</f>
        <v>77</v>
      </c>
      <c r="K187" s="1444">
        <f>IF('Система ГВС'!F4=2,0,IF(F187=0,(F207*(1+IF($C$107=списки!$Y$54,'Расчет базового уровня'!$D$176,0))*($D$107-IF(F253&gt;150,$D$108,$D$109))+E207*$D$113)/1000,F187))</f>
        <v>16.5</v>
      </c>
      <c r="L187" s="18"/>
      <c r="M187" s="18"/>
      <c r="N187" s="18"/>
      <c r="O187" s="18"/>
      <c r="P187" s="18"/>
      <c r="Q187" s="18"/>
      <c r="R187" s="18"/>
      <c r="S187" s="18"/>
      <c r="T187" s="18"/>
      <c r="U187" s="18"/>
      <c r="V187" s="18"/>
      <c r="W187" s="18"/>
      <c r="X187" s="18"/>
      <c r="Y187" s="18"/>
      <c r="Z187" s="18"/>
    </row>
    <row r="188" spans="1:26" s="8" customFormat="1" ht="15" customHeight="1" x14ac:dyDescent="0.25">
      <c r="A188" s="1292"/>
      <c r="B188" s="1477">
        <f t="shared" ref="B188:B197" si="13">B187+1</f>
        <v>103</v>
      </c>
      <c r="C188" s="1352" t="s">
        <v>490</v>
      </c>
      <c r="D188" s="1515">
        <f t="shared" si="11"/>
        <v>50</v>
      </c>
      <c r="E188" s="1515">
        <v>50</v>
      </c>
      <c r="F188" s="1515"/>
      <c r="G188" s="1544"/>
      <c r="H188" s="74"/>
      <c r="I188" s="74"/>
      <c r="J188" s="1443">
        <f t="shared" si="12"/>
        <v>50</v>
      </c>
      <c r="K188" s="1444">
        <f>IF('Система ГВС'!F5=2,0,IF(F188=0,(F208*(1+IF($C$107=списки!$Y$54,'Расчет базового уровня'!$D$176,0))*($D$107-IF(F254&gt;150,$D$108,$D$109))+E208*$D$113)/1000,F188))</f>
        <v>13.612500000000001</v>
      </c>
      <c r="L188" s="18"/>
      <c r="M188" s="18"/>
      <c r="N188" s="18"/>
      <c r="O188" s="18"/>
      <c r="P188" s="18"/>
      <c r="Q188" s="18"/>
      <c r="R188" s="18"/>
      <c r="S188" s="18"/>
      <c r="T188" s="18"/>
      <c r="U188" s="18"/>
      <c r="V188" s="18"/>
      <c r="W188" s="18"/>
      <c r="X188" s="18"/>
      <c r="Y188" s="18"/>
      <c r="Z188" s="18"/>
    </row>
    <row r="189" spans="1:26" s="8" customFormat="1" ht="15" customHeight="1" x14ac:dyDescent="0.25">
      <c r="A189" s="1292"/>
      <c r="B189" s="1477">
        <f t="shared" si="13"/>
        <v>104</v>
      </c>
      <c r="C189" s="1352" t="s">
        <v>491</v>
      </c>
      <c r="D189" s="1515">
        <f t="shared" si="11"/>
        <v>46.4</v>
      </c>
      <c r="E189" s="1515">
        <v>46.4</v>
      </c>
      <c r="F189" s="1515"/>
      <c r="G189" s="1544"/>
      <c r="H189" s="74"/>
      <c r="I189" s="74"/>
      <c r="J189" s="1443">
        <f t="shared" si="12"/>
        <v>46.4</v>
      </c>
      <c r="K189" s="1444">
        <f>IF('Система ГВС'!F6=2,0,IF(F189=0,(F209*(1+IF($C$107=списки!$Y$54,'Расчет базового уровня'!$D$176,0))*($D$107-IF(F255&gt;150,$D$108,$D$109))+E209*$D$113)/1000,F189))</f>
        <v>17.118749999999999</v>
      </c>
      <c r="L189" s="18"/>
      <c r="M189" s="18"/>
      <c r="N189" s="18"/>
      <c r="O189" s="18"/>
      <c r="P189" s="18"/>
      <c r="Q189" s="18"/>
      <c r="R189" s="18"/>
      <c r="S189" s="18"/>
      <c r="T189" s="18"/>
      <c r="U189" s="18"/>
      <c r="V189" s="18"/>
      <c r="W189" s="18"/>
      <c r="X189" s="18"/>
      <c r="Y189" s="18"/>
      <c r="Z189" s="18"/>
    </row>
    <row r="190" spans="1:26" s="8" customFormat="1" ht="15" customHeight="1" x14ac:dyDescent="0.25">
      <c r="A190" s="1292"/>
      <c r="B190" s="1477">
        <f t="shared" si="13"/>
        <v>105</v>
      </c>
      <c r="C190" s="1352" t="s">
        <v>805</v>
      </c>
      <c r="D190" s="1515">
        <f t="shared" si="11"/>
        <v>39</v>
      </c>
      <c r="E190" s="1515">
        <v>39</v>
      </c>
      <c r="F190" s="1515"/>
      <c r="G190" s="1544"/>
      <c r="H190" s="74"/>
      <c r="I190" s="74"/>
      <c r="J190" s="1443">
        <f t="shared" si="12"/>
        <v>39</v>
      </c>
      <c r="K190" s="1444">
        <f>IF('Система ГВС'!F7=2,0,IF(F190=0,(F210*(1+IF($C$107=списки!$Y$54,'Расчет базового уровня'!$D$176,0))*($D$107-IF(F256&gt;150,$D$108,$D$109))+E210*$D$113)/1000,F190))</f>
        <v>11.137499999999999</v>
      </c>
      <c r="L190" s="18"/>
      <c r="M190" s="18"/>
      <c r="N190" s="18"/>
      <c r="O190" s="18"/>
      <c r="P190" s="18"/>
      <c r="Q190" s="18"/>
      <c r="R190" s="18"/>
      <c r="S190" s="18"/>
      <c r="T190" s="18"/>
      <c r="U190" s="18"/>
      <c r="V190" s="18"/>
      <c r="W190" s="18"/>
      <c r="X190" s="18"/>
      <c r="Y190" s="18"/>
      <c r="Z190" s="18"/>
    </row>
    <row r="191" spans="1:26" s="8" customFormat="1" ht="15" customHeight="1" x14ac:dyDescent="0.25">
      <c r="A191" s="1292"/>
      <c r="B191" s="1477">
        <f t="shared" si="13"/>
        <v>106</v>
      </c>
      <c r="C191" s="1352" t="s">
        <v>806</v>
      </c>
      <c r="D191" s="1515">
        <f t="shared" si="11"/>
        <v>0</v>
      </c>
      <c r="E191" s="1515"/>
      <c r="F191" s="1515"/>
      <c r="G191" s="1544"/>
      <c r="H191" s="74"/>
      <c r="I191" s="74"/>
      <c r="J191" s="1443">
        <f t="shared" si="12"/>
        <v>-11.25</v>
      </c>
      <c r="K191" s="1444">
        <f>IF('Система ГВС'!F8=2,0,IF(F191=0,(F211*(1+IF($C$107=списки!$Y$54,'Расчет базового уровня'!$D$176,0))*($D$107-IF(F257&gt;150,$D$108,$D$109))+E211*$D$113)/1000,F191))</f>
        <v>11.25</v>
      </c>
      <c r="L191" s="18"/>
      <c r="M191" s="18"/>
      <c r="N191" s="18"/>
      <c r="O191" s="18"/>
      <c r="P191" s="18"/>
      <c r="Q191" s="18"/>
      <c r="R191" s="18"/>
      <c r="S191" s="18"/>
      <c r="T191" s="18"/>
      <c r="U191" s="18"/>
      <c r="V191" s="18"/>
      <c r="W191" s="18"/>
      <c r="X191" s="18"/>
      <c r="Y191" s="18"/>
      <c r="Z191" s="18"/>
    </row>
    <row r="192" spans="1:26" s="8" customFormat="1" ht="15" customHeight="1" x14ac:dyDescent="0.25">
      <c r="A192" s="1292"/>
      <c r="B192" s="1477">
        <f t="shared" si="13"/>
        <v>107</v>
      </c>
      <c r="C192" s="1352" t="s">
        <v>807</v>
      </c>
      <c r="D192" s="1515">
        <f t="shared" si="11"/>
        <v>0</v>
      </c>
      <c r="E192" s="1515"/>
      <c r="F192" s="1515"/>
      <c r="G192" s="1544"/>
      <c r="H192" s="74"/>
      <c r="I192" s="74"/>
      <c r="J192" s="1443">
        <f t="shared" si="12"/>
        <v>-11.25</v>
      </c>
      <c r="K192" s="1444">
        <f>IF('Система ГВС'!F9=2,0,IF(F192=0,(F212*(1+IF($C$107=списки!$Y$54,'Расчет базового уровня'!$D$176,0))*($D$107-IF(F258&gt;150,$D$108,$D$109))+E212*$D$113)/1000,F192))</f>
        <v>11.25</v>
      </c>
      <c r="L192" s="18"/>
      <c r="M192" s="18"/>
      <c r="N192" s="18"/>
      <c r="O192" s="18"/>
      <c r="P192" s="18"/>
      <c r="Q192" s="18"/>
      <c r="R192" s="18"/>
      <c r="S192" s="18"/>
      <c r="T192" s="18"/>
      <c r="U192" s="18"/>
      <c r="V192" s="18"/>
      <c r="W192" s="18"/>
      <c r="X192" s="18"/>
      <c r="Y192" s="18"/>
      <c r="Z192" s="18"/>
    </row>
    <row r="193" spans="1:34" s="8" customFormat="1" ht="15" customHeight="1" x14ac:dyDescent="0.25">
      <c r="A193" s="1292"/>
      <c r="B193" s="1477">
        <f t="shared" si="13"/>
        <v>108</v>
      </c>
      <c r="C193" s="1352" t="s">
        <v>808</v>
      </c>
      <c r="D193" s="1515">
        <f t="shared" si="11"/>
        <v>0</v>
      </c>
      <c r="E193" s="1515"/>
      <c r="F193" s="1515"/>
      <c r="G193" s="1544"/>
      <c r="H193" s="74"/>
      <c r="I193" s="74"/>
      <c r="J193" s="1443">
        <f t="shared" si="12"/>
        <v>-11.25</v>
      </c>
      <c r="K193" s="1444">
        <f>IF('Система ГВС'!F10=2,0,IF(F193=0,(F213*(1+IF($C$107=списки!$Y$54,'Расчет базового уровня'!$D$176,0))*($D$107-IF(F259&gt;150,$D$108,$D$109))+E213*$D$113)/1000,F193))</f>
        <v>11.25</v>
      </c>
      <c r="L193" s="18"/>
      <c r="M193" s="18"/>
      <c r="N193" s="18"/>
      <c r="O193" s="18"/>
      <c r="P193" s="18"/>
      <c r="Q193" s="18"/>
      <c r="R193" s="18"/>
      <c r="S193" s="18"/>
      <c r="T193" s="18"/>
      <c r="U193" s="18"/>
      <c r="V193" s="18"/>
      <c r="W193" s="18"/>
      <c r="X193" s="18"/>
      <c r="Y193" s="18"/>
      <c r="Z193" s="18"/>
    </row>
    <row r="194" spans="1:34" s="8" customFormat="1" ht="15" customHeight="1" x14ac:dyDescent="0.25">
      <c r="A194" s="1292"/>
      <c r="B194" s="1477">
        <f t="shared" si="13"/>
        <v>109</v>
      </c>
      <c r="C194" s="1352" t="s">
        <v>809</v>
      </c>
      <c r="D194" s="1515">
        <f t="shared" si="11"/>
        <v>1</v>
      </c>
      <c r="E194" s="1515">
        <v>1</v>
      </c>
      <c r="F194" s="1515"/>
      <c r="G194" s="1544"/>
      <c r="H194" s="74"/>
      <c r="I194" s="74"/>
      <c r="J194" s="1443">
        <f t="shared" si="12"/>
        <v>1</v>
      </c>
      <c r="K194" s="1444">
        <f>IF('Система ГВС'!F11=2,0,IF(F194=0,(F214*(1+IF($C$107=списки!$Y$54,'Расчет базового уровня'!$D$176,0))*($D$107-IF(F260&gt;150,$D$108,$D$109))+E214*$D$113)/1000,F194))</f>
        <v>11.25</v>
      </c>
      <c r="L194" s="18"/>
      <c r="M194" s="18"/>
      <c r="N194" s="18"/>
      <c r="O194" s="18"/>
      <c r="P194" s="18"/>
      <c r="Q194" s="18"/>
      <c r="R194" s="18"/>
      <c r="S194" s="18"/>
      <c r="T194" s="18"/>
      <c r="U194" s="18"/>
      <c r="V194" s="18"/>
      <c r="W194" s="18"/>
      <c r="X194" s="18"/>
      <c r="Y194" s="18"/>
      <c r="Z194" s="18"/>
    </row>
    <row r="195" spans="1:34" s="8" customFormat="1" ht="15" customHeight="1" x14ac:dyDescent="0.25">
      <c r="A195" s="1292"/>
      <c r="B195" s="1477">
        <f t="shared" si="13"/>
        <v>110</v>
      </c>
      <c r="C195" s="1352" t="s">
        <v>482</v>
      </c>
      <c r="D195" s="1515">
        <f t="shared" si="11"/>
        <v>43.7</v>
      </c>
      <c r="E195" s="1515">
        <v>43.7</v>
      </c>
      <c r="F195" s="1525"/>
      <c r="G195" s="1544"/>
      <c r="H195" s="74"/>
      <c r="I195" s="74"/>
      <c r="J195" s="1443">
        <f t="shared" si="12"/>
        <v>43.7</v>
      </c>
      <c r="K195" s="1444">
        <f>IF('Система ГВС'!F12=2,0,IF(F195=0,(F215*(1+IF($C$107=списки!$Y$54,'Расчет базового уровня'!$D$176,0))*($D$107-IF(F261&gt;150,$D$108,$D$109))+E215*$D$113)/1000,F195))</f>
        <v>13.75</v>
      </c>
      <c r="L195" s="18"/>
      <c r="M195" s="18"/>
      <c r="N195" s="18"/>
      <c r="O195" s="18"/>
      <c r="P195" s="18"/>
      <c r="Q195" s="18"/>
      <c r="R195" s="18"/>
      <c r="S195" s="18"/>
      <c r="T195" s="18"/>
      <c r="U195" s="18"/>
      <c r="V195" s="18"/>
      <c r="W195" s="18"/>
      <c r="X195" s="18"/>
      <c r="Y195" s="18"/>
      <c r="Z195" s="18"/>
    </row>
    <row r="196" spans="1:34" s="8" customFormat="1" ht="15" customHeight="1" x14ac:dyDescent="0.25">
      <c r="A196" s="1292"/>
      <c r="B196" s="1477">
        <f t="shared" si="13"/>
        <v>111</v>
      </c>
      <c r="C196" s="1352" t="s">
        <v>486</v>
      </c>
      <c r="D196" s="1515">
        <f t="shared" si="11"/>
        <v>69.8</v>
      </c>
      <c r="E196" s="1515">
        <v>69.8</v>
      </c>
      <c r="F196" s="1525"/>
      <c r="G196" s="1544"/>
      <c r="H196" s="74"/>
      <c r="I196" s="74"/>
      <c r="J196" s="1443">
        <f t="shared" si="12"/>
        <v>69.8</v>
      </c>
      <c r="K196" s="1444">
        <f>IF('Система ГВС'!F13=2,0,IF(F196=0,(F216*(1+IF($C$107=списки!$Y$54,'Расчет базового уровня'!$D$176,0))*($D$107-IF(F262&gt;150,$D$108,$D$109))+E216*$D$113)/1000,F196))</f>
        <v>13.75</v>
      </c>
      <c r="L196" s="18"/>
      <c r="M196" s="18"/>
      <c r="N196" s="18"/>
      <c r="O196" s="18"/>
      <c r="P196" s="18"/>
      <c r="Q196" s="18"/>
      <c r="R196" s="18"/>
      <c r="S196" s="18"/>
      <c r="T196" s="18"/>
      <c r="U196" s="18"/>
      <c r="V196" s="18"/>
      <c r="W196" s="18"/>
      <c r="X196" s="18"/>
      <c r="Y196" s="18"/>
      <c r="Z196" s="18"/>
    </row>
    <row r="197" spans="1:34" s="8" customFormat="1" ht="15" customHeight="1" x14ac:dyDescent="0.25">
      <c r="A197" s="1292"/>
      <c r="B197" s="1477">
        <f t="shared" si="13"/>
        <v>112</v>
      </c>
      <c r="C197" s="1353" t="s">
        <v>487</v>
      </c>
      <c r="D197" s="1516">
        <f t="shared" si="11"/>
        <v>73.400000000000006</v>
      </c>
      <c r="E197" s="1515">
        <v>73.400000000000006</v>
      </c>
      <c r="F197" s="1526"/>
      <c r="G197" s="1544"/>
      <c r="H197" s="74"/>
      <c r="I197" s="74"/>
      <c r="J197" s="1443">
        <f t="shared" si="12"/>
        <v>73.400000000000006</v>
      </c>
      <c r="K197" s="1444">
        <f>IF('Система ГВС'!F14=2,0,IF(F197=0,(F217*(1+IF($C$107=списки!$Y$54,'Расчет базового уровня'!$D$176,0))*($D$107-IF(F263&gt;150,$D$108,$D$109))+E217*$D$113)/1000,F197))</f>
        <v>13.543749999999999</v>
      </c>
      <c r="L197" s="18"/>
      <c r="M197" s="18"/>
      <c r="N197" s="18"/>
      <c r="O197" s="18"/>
      <c r="P197" s="18"/>
      <c r="Q197" s="18"/>
      <c r="R197" s="18"/>
      <c r="S197" s="18"/>
      <c r="T197" s="18"/>
      <c r="U197" s="18"/>
      <c r="V197" s="18"/>
      <c r="W197" s="18"/>
      <c r="X197" s="18"/>
      <c r="Y197" s="18"/>
      <c r="Z197" s="18"/>
    </row>
    <row r="198" spans="1:34" s="8" customFormat="1" ht="15" customHeight="1" x14ac:dyDescent="0.25">
      <c r="A198" s="1292"/>
      <c r="B198" s="1475"/>
      <c r="C198" s="1350" t="s">
        <v>1000</v>
      </c>
      <c r="D198" s="1431">
        <f>SUM(D186:D197)</f>
        <v>478.64300000000003</v>
      </c>
      <c r="E198" s="1431">
        <f>SUM(E186:E197)</f>
        <v>478.64300000000003</v>
      </c>
      <c r="F198" s="1431">
        <f>SUM(F186:F197)</f>
        <v>0</v>
      </c>
      <c r="G198" s="74"/>
      <c r="H198" s="74"/>
      <c r="I198" s="74"/>
      <c r="J198" s="1445">
        <f>IF(E198=0,D198-K198,E198)</f>
        <v>478.64300000000003</v>
      </c>
      <c r="K198" s="1444">
        <f>IF('Система ГВС'!F15=2,0,IF(F198=0,(F218*(1+IF($C$107=списки!$Y$54,'Расчет базового уровня'!$D$176,0))*($D$107-'Расчет после реализации'!E173)+E218*$D$113)/1000,F198))</f>
        <v>162.41629273504273</v>
      </c>
      <c r="L198" s="18"/>
      <c r="M198" s="18"/>
      <c r="N198" s="18"/>
      <c r="O198" s="18"/>
      <c r="P198" s="18"/>
      <c r="Q198" s="18"/>
      <c r="R198" s="18"/>
      <c r="S198" s="18"/>
      <c r="T198" s="18"/>
      <c r="U198" s="18"/>
      <c r="V198" s="18"/>
      <c r="W198" s="18"/>
      <c r="X198" s="18"/>
      <c r="Y198" s="18"/>
      <c r="Z198" s="18"/>
    </row>
    <row r="199" spans="1:34" s="8" customFormat="1" x14ac:dyDescent="0.25">
      <c r="A199" s="1292"/>
      <c r="B199" s="1475"/>
      <c r="C199" s="10"/>
      <c r="D199" s="10"/>
      <c r="E199" s="10"/>
      <c r="F199" s="1284">
        <f>F218*55*1.3</f>
        <v>180108.5</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25">
      <c r="A200" s="1292"/>
      <c r="B200" s="1475"/>
      <c r="C200" s="10"/>
      <c r="D200" s="10"/>
      <c r="E200" s="10"/>
      <c r="F200" s="20" t="str">
        <f>IFERROR(IF(AVEDEV(F186:F197)/AVERAGE(F186:F197)&gt;=0.3,"Проверьте данные, слишком нестабильно",""),"")</f>
        <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25">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2"/>
      <c r="B202" s="1475"/>
      <c r="C202" s="1609" t="str">
        <f>IF('Система ГВС'!F3=2,"Таблицу ниже можно не заполнять, т.к. в поле 59 выбрана децентрализованная система ГВС.","")</f>
        <v/>
      </c>
      <c r="D202" s="1609"/>
      <c r="E202" s="1609"/>
      <c r="F202" s="1609"/>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25">
      <c r="A203" s="1292"/>
      <c r="B203" s="1475"/>
      <c r="C203" s="1613" t="s">
        <v>1838</v>
      </c>
      <c r="D203" s="1613"/>
      <c r="E203" s="1613"/>
      <c r="F203" s="1613"/>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25">
      <c r="A204" s="1292"/>
      <c r="B204" s="1475"/>
      <c r="C204" s="1585" t="s">
        <v>995</v>
      </c>
      <c r="D204" s="1586" t="s">
        <v>1001</v>
      </c>
      <c r="E204" s="1587"/>
      <c r="F204" s="1588"/>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7.25" x14ac:dyDescent="0.25">
      <c r="A205" s="1292"/>
      <c r="B205" s="1475"/>
      <c r="C205" s="1585"/>
      <c r="D205" s="1345" t="s">
        <v>1834</v>
      </c>
      <c r="E205" s="1355" t="s">
        <v>1835</v>
      </c>
      <c r="F205" s="1349" t="s">
        <v>1836</v>
      </c>
      <c r="G205" s="1614"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
      </c>
      <c r="H205" s="1615"/>
      <c r="I205" s="1615"/>
      <c r="J205" s="1615"/>
      <c r="K205" s="1615"/>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25">
      <c r="A206" s="1292"/>
      <c r="B206" s="1477">
        <f>B197+1</f>
        <v>113</v>
      </c>
      <c r="C206" s="1351" t="s">
        <v>488</v>
      </c>
      <c r="D206" s="1514"/>
      <c r="E206" s="1514"/>
      <c r="F206" s="1514">
        <v>237</v>
      </c>
      <c r="G206" s="1596"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
      </c>
      <c r="H206" s="1596"/>
      <c r="I206" s="1597"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597"/>
      <c r="K206" s="1597"/>
      <c r="L206" s="1441">
        <f>$F$218/365/$D$22*1000</f>
        <v>57.51141552511416</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25">
      <c r="A207" s="1292"/>
      <c r="B207" s="1477">
        <f>B206+1</f>
        <v>114</v>
      </c>
      <c r="C207" s="1352" t="s">
        <v>489</v>
      </c>
      <c r="D207" s="1515"/>
      <c r="E207" s="1515"/>
      <c r="F207" s="1515">
        <v>240</v>
      </c>
      <c r="G207" s="1596"/>
      <c r="H207" s="1596"/>
      <c r="I207" s="1597"/>
      <c r="J207" s="1597"/>
      <c r="K207" s="1597"/>
      <c r="L207" s="1441">
        <f>SUMPRODUCT('Система ГВС'!$D$5:$D$9,'Система ГВС'!$E$5:$E$9)*(1-0.4*$D$21/$D$20)</f>
        <v>54</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25">
      <c r="A208" s="1292"/>
      <c r="B208" s="1477">
        <f t="shared" ref="B208:B217" si="14">B207+1</f>
        <v>115</v>
      </c>
      <c r="C208" s="1352" t="s">
        <v>490</v>
      </c>
      <c r="D208" s="1515"/>
      <c r="E208" s="1515"/>
      <c r="F208" s="1515">
        <v>198</v>
      </c>
      <c r="G208" s="1596"/>
      <c r="H208" s="1596"/>
      <c r="I208" s="1597"/>
      <c r="J208" s="1597"/>
      <c r="K208" s="1597"/>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25">
      <c r="A209" s="1292"/>
      <c r="B209" s="1477">
        <f t="shared" si="14"/>
        <v>116</v>
      </c>
      <c r="C209" s="1352" t="s">
        <v>491</v>
      </c>
      <c r="D209" s="1515"/>
      <c r="E209" s="1515"/>
      <c r="F209" s="1515">
        <v>249</v>
      </c>
      <c r="G209" s="1596"/>
      <c r="H209" s="1596"/>
      <c r="I209" s="1597"/>
      <c r="J209" s="1597"/>
      <c r="K209" s="1597"/>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25">
      <c r="A210" s="1292"/>
      <c r="B210" s="1477">
        <f t="shared" si="14"/>
        <v>117</v>
      </c>
      <c r="C210" s="1352" t="s">
        <v>805</v>
      </c>
      <c r="D210" s="1515"/>
      <c r="E210" s="1515"/>
      <c r="F210" s="1515">
        <v>198</v>
      </c>
      <c r="G210" s="1596"/>
      <c r="H210" s="1596"/>
      <c r="I210" s="1597"/>
      <c r="J210" s="1597"/>
      <c r="K210" s="1597"/>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25">
      <c r="A211" s="1292"/>
      <c r="B211" s="1477">
        <f t="shared" si="14"/>
        <v>118</v>
      </c>
      <c r="C211" s="1352" t="s">
        <v>806</v>
      </c>
      <c r="D211" s="1515"/>
      <c r="E211" s="1515"/>
      <c r="F211" s="1515">
        <v>200</v>
      </c>
      <c r="G211" s="1596"/>
      <c r="H211" s="1596"/>
      <c r="I211" s="1597"/>
      <c r="J211" s="1597"/>
      <c r="K211" s="1597"/>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25">
      <c r="A212" s="1292"/>
      <c r="B212" s="1477">
        <f t="shared" si="14"/>
        <v>119</v>
      </c>
      <c r="C212" s="1352" t="s">
        <v>807</v>
      </c>
      <c r="D212" s="1515"/>
      <c r="E212" s="1515"/>
      <c r="F212" s="1515">
        <v>200</v>
      </c>
      <c r="G212" s="1596"/>
      <c r="H212" s="1596"/>
      <c r="I212" s="1597"/>
      <c r="J212" s="1597"/>
      <c r="K212" s="1597"/>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25">
      <c r="A213" s="1292"/>
      <c r="B213" s="1477">
        <f t="shared" si="14"/>
        <v>120</v>
      </c>
      <c r="C213" s="1352" t="s">
        <v>808</v>
      </c>
      <c r="D213" s="1515"/>
      <c r="E213" s="1515"/>
      <c r="F213" s="1515">
        <v>200</v>
      </c>
      <c r="G213" s="1596"/>
      <c r="H213" s="1596"/>
      <c r="I213" s="1597"/>
      <c r="J213" s="1597"/>
      <c r="K213" s="1597"/>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25">
      <c r="A214" s="1292"/>
      <c r="B214" s="1477">
        <f t="shared" si="14"/>
        <v>121</v>
      </c>
      <c r="C214" s="1352" t="s">
        <v>809</v>
      </c>
      <c r="D214" s="1515"/>
      <c r="E214" s="1515"/>
      <c r="F214" s="1515">
        <v>200</v>
      </c>
      <c r="G214" s="1596"/>
      <c r="H214" s="1596"/>
      <c r="I214" s="1597"/>
      <c r="J214" s="1597"/>
      <c r="K214" s="1597"/>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25">
      <c r="A215" s="1292"/>
      <c r="B215" s="1477">
        <f t="shared" si="14"/>
        <v>122</v>
      </c>
      <c r="C215" s="1352" t="s">
        <v>482</v>
      </c>
      <c r="D215" s="1515"/>
      <c r="E215" s="1515"/>
      <c r="F215" s="1515">
        <v>200</v>
      </c>
      <c r="G215" s="1596"/>
      <c r="H215" s="1596"/>
      <c r="I215" s="1597"/>
      <c r="J215" s="1597"/>
      <c r="K215" s="1597"/>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25">
      <c r="A216" s="1292"/>
      <c r="B216" s="1477">
        <f t="shared" si="14"/>
        <v>123</v>
      </c>
      <c r="C216" s="1352" t="s">
        <v>486</v>
      </c>
      <c r="D216" s="1515"/>
      <c r="E216" s="1515"/>
      <c r="F216" s="1515">
        <v>200</v>
      </c>
      <c r="G216" s="1596"/>
      <c r="H216" s="1596"/>
      <c r="I216" s="1597"/>
      <c r="J216" s="1597"/>
      <c r="K216" s="1597"/>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25">
      <c r="A217" s="1292"/>
      <c r="B217" s="1477">
        <f t="shared" si="14"/>
        <v>124</v>
      </c>
      <c r="C217" s="1353" t="s">
        <v>487</v>
      </c>
      <c r="D217" s="1516"/>
      <c r="E217" s="1516"/>
      <c r="F217" s="1516">
        <v>197</v>
      </c>
      <c r="G217" s="1596"/>
      <c r="H217" s="1596"/>
      <c r="I217" s="1597"/>
      <c r="J217" s="1597"/>
      <c r="K217" s="1597"/>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25">
      <c r="A218" s="1292"/>
      <c r="B218" s="1475"/>
      <c r="C218" s="1350" t="s">
        <v>1000</v>
      </c>
      <c r="D218" s="1431">
        <f>SUM(D206:D217)</f>
        <v>0</v>
      </c>
      <c r="E218" s="1431">
        <f>SUM(E206:E217)</f>
        <v>0</v>
      </c>
      <c r="F218" s="1432">
        <f>SUM(F206:F217)</f>
        <v>2519</v>
      </c>
      <c r="G218" s="1596"/>
      <c r="H218" s="1596"/>
      <c r="I218" s="1597"/>
      <c r="J218" s="1597"/>
      <c r="K218" s="1597"/>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25">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25">
      <c r="A220" s="1292"/>
      <c r="B220" s="1475"/>
      <c r="C220" s="1613" t="s">
        <v>1837</v>
      </c>
      <c r="D220" s="1613"/>
      <c r="E220" s="1613"/>
      <c r="F220" s="1613"/>
      <c r="G220" s="1613"/>
      <c r="H220" s="1613"/>
      <c r="I220" s="1613"/>
      <c r="J220" s="1613"/>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25">
      <c r="A221" s="1292"/>
      <c r="B221" s="1475"/>
      <c r="C221" s="1589" t="s">
        <v>995</v>
      </c>
      <c r="D221" s="1590" t="s">
        <v>1604</v>
      </c>
      <c r="E221" s="1592" t="s">
        <v>1341</v>
      </c>
      <c r="F221" s="1593" t="s">
        <v>1344</v>
      </c>
      <c r="G221" s="1594"/>
      <c r="H221" s="1594"/>
      <c r="I221" s="1594"/>
      <c r="J221" s="1595"/>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25">
      <c r="A222" s="1292"/>
      <c r="B222" s="1475"/>
      <c r="C222" s="1589"/>
      <c r="D222" s="1591"/>
      <c r="E222" s="1590"/>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25">
      <c r="A223" s="1292"/>
      <c r="B223" s="1477">
        <f>B217+1</f>
        <v>125</v>
      </c>
      <c r="C223" s="1352" t="s">
        <v>488</v>
      </c>
      <c r="D223" s="1514"/>
      <c r="E223" s="1514"/>
      <c r="F223" s="1514">
        <v>0.94006999999999996</v>
      </c>
      <c r="G223" s="1505"/>
      <c r="H223" s="1505"/>
      <c r="I223" s="1505"/>
      <c r="J223" s="1502"/>
      <c r="K223" s="1605" t="s">
        <v>1605</v>
      </c>
      <c r="L223" s="1605"/>
      <c r="M223" s="74"/>
      <c r="N223" s="74"/>
      <c r="O223" s="74"/>
      <c r="P223" s="1467">
        <f>SUM(Q223:S223,W223)</f>
        <v>3.8446666666666665</v>
      </c>
      <c r="Q223" s="1468">
        <f>($G$131*$H$131*$D$131+$H$132*$G$132*$D$132+$H$133*$G$133*$D$133+$H$134*$G$134*$D$134+$H$135*$G$135*$D$135)/12/1000000</f>
        <v>3.8446666666666665</v>
      </c>
      <c r="R223" s="1468">
        <f>$D$140*$D$141/1000/12</f>
        <v>0</v>
      </c>
      <c r="S223" s="1469">
        <f>SUM(T223:V223)</f>
        <v>0</v>
      </c>
      <c r="T223" s="1469">
        <f>$D$146*'Расчет базового уровня'!$G$146*24/1000</f>
        <v>0</v>
      </c>
      <c r="U223" s="1469">
        <f>$D$150*'Расчет базового уровня'!$G$170*24/1000</f>
        <v>0</v>
      </c>
      <c r="V223" s="1469">
        <f>$D$154*'Расчет базового уровня'!$G$165*24/1000</f>
        <v>0</v>
      </c>
      <c r="W223" s="1470">
        <f>$D$159*$D$160/12/1000</f>
        <v>0</v>
      </c>
      <c r="X223" s="1471"/>
      <c r="Y223" s="1467">
        <f>SUM(Z223:AB223,AF223)</f>
        <v>0.94006999999999996</v>
      </c>
      <c r="Z223" s="1468">
        <f>IF(G223=0,IFERROR($F223*Q223/$P223,0),G223)</f>
        <v>0.94006999999999996</v>
      </c>
      <c r="AA223" s="1468">
        <f>IF(H223=0,IFERROR($F223*R223/$P223,0),H223)</f>
        <v>0</v>
      </c>
      <c r="AB223" s="1468">
        <f>IF(I223=0,IFERROR($F223*S223/$P223,0),I223)</f>
        <v>0</v>
      </c>
      <c r="AC223" s="1469">
        <f>IFERROR(IF($I223=0,$F223*T223/$P223,$AB223*T223/$S223),0)</f>
        <v>0</v>
      </c>
      <c r="AD223" s="1469">
        <f>IFERROR(IF($I223=0,$F223*U223/$P223,$AB223*U223/$S223),0)</f>
        <v>0</v>
      </c>
      <c r="AE223" s="1469">
        <f>IFERROR(IF($I223=0,$F223*V223/$P223,$AB223*V223/$S223),0)</f>
        <v>0</v>
      </c>
      <c r="AF223" s="1468">
        <f>IFERROR(IF(J223=0,$F223*W223/$P223,P223),0)</f>
        <v>0</v>
      </c>
      <c r="AG223" s="18"/>
      <c r="AH223" s="18"/>
    </row>
    <row r="224" spans="1:34" s="8" customFormat="1" x14ac:dyDescent="0.25">
      <c r="A224" s="1292"/>
      <c r="B224" s="1477">
        <f>B223+1</f>
        <v>126</v>
      </c>
      <c r="C224" s="1352" t="s">
        <v>489</v>
      </c>
      <c r="D224" s="1515"/>
      <c r="E224" s="1515"/>
      <c r="F224" s="1515">
        <v>0.59</v>
      </c>
      <c r="G224" s="1506"/>
      <c r="H224" s="1506"/>
      <c r="I224" s="1506"/>
      <c r="J224" s="1503"/>
      <c r="K224" s="1605"/>
      <c r="L224" s="1605"/>
      <c r="M224" s="74"/>
      <c r="N224" s="74"/>
      <c r="O224" s="74"/>
      <c r="P224" s="1467">
        <f t="shared" ref="P224:P234" si="15">SUM(Q224:S224,W224)</f>
        <v>3.8446666666666665</v>
      </c>
      <c r="Q224" s="1468">
        <f t="shared" ref="Q224:Q234" si="16">($G$131*$H$131*$D$131+$H$132*$G$132*$D$132+$H$133*$G$133*$D$133+$H$134*$G$134*$D$134+$H$135*$G$135*$D$135)/12/1000000</f>
        <v>3.8446666666666665</v>
      </c>
      <c r="R224" s="1468">
        <f>R223</f>
        <v>0</v>
      </c>
      <c r="S224" s="1469">
        <f t="shared" ref="S224:S234" si="17">SUM(T224:V224)</f>
        <v>0</v>
      </c>
      <c r="T224" s="1469">
        <f>$D$146*'Расчет базового уровня'!$H$146*24/1000</f>
        <v>0</v>
      </c>
      <c r="U224" s="1469">
        <f>$D$150*'Расчет базового уровня'!$H$170*24/1000</f>
        <v>0</v>
      </c>
      <c r="V224" s="1469">
        <f>$D$154*'Расчет базового уровня'!$H$165*24/1000</f>
        <v>0</v>
      </c>
      <c r="W224" s="1470">
        <f t="shared" ref="W224:W234" si="18">$D$159*$D$160/12/1000</f>
        <v>0</v>
      </c>
      <c r="X224" s="1471"/>
      <c r="Y224" s="1467">
        <f t="shared" ref="Y224:Y235" si="19">SUM(Z224:AB224,AF224)</f>
        <v>0.59</v>
      </c>
      <c r="Z224" s="1468">
        <f t="shared" ref="Z224:Z235" si="20">IF(G224=0,IFERROR($F224*Q224/$P224,0),G224)</f>
        <v>0.59</v>
      </c>
      <c r="AA224" s="1468">
        <f t="shared" ref="AA224:AA235" si="21">IF(H224=0,IFERROR($F224*R224/$P224,0),H224)</f>
        <v>0</v>
      </c>
      <c r="AB224" s="1468">
        <f t="shared" ref="AB224:AB235" si="22">IF(I224=0,IFERROR($F224*S224/$P224,0),I224)</f>
        <v>0</v>
      </c>
      <c r="AC224" s="1469">
        <f t="shared" ref="AC224:AC235" si="23">IFERROR(IF($I224=0,$F224*T224/$P224,$AB224*T224/$S224),0)</f>
        <v>0</v>
      </c>
      <c r="AD224" s="1469">
        <f t="shared" ref="AD224:AD235" si="24">IFERROR(IF($I224=0,$F224*U224/$P224,$AB224*U224/$S224),0)</f>
        <v>0</v>
      </c>
      <c r="AE224" s="1469">
        <f t="shared" ref="AE224:AE235" si="25">IFERROR(IF($I224=0,$F224*V224/$P224,$AB224*V224/$S224),0)</f>
        <v>0</v>
      </c>
      <c r="AF224" s="1468">
        <f t="shared" ref="AF224:AF235" si="26">IFERROR(IF(J224=0,$F224*W224/$P224,P224),0)</f>
        <v>0</v>
      </c>
      <c r="AG224" s="18"/>
      <c r="AH224" s="18"/>
    </row>
    <row r="225" spans="1:34" s="8" customFormat="1" x14ac:dyDescent="0.25">
      <c r="A225" s="1292"/>
      <c r="B225" s="1477">
        <f t="shared" ref="B225:B234" si="27">B224+1</f>
        <v>127</v>
      </c>
      <c r="C225" s="1352" t="s">
        <v>490</v>
      </c>
      <c r="D225" s="1515"/>
      <c r="E225" s="1515"/>
      <c r="F225" s="1515">
        <v>0.58799999999999997</v>
      </c>
      <c r="G225" s="1506"/>
      <c r="H225" s="1506"/>
      <c r="I225" s="1506"/>
      <c r="J225" s="1503"/>
      <c r="K225" s="1605"/>
      <c r="L225" s="1605"/>
      <c r="M225" s="74"/>
      <c r="N225" s="74"/>
      <c r="O225" s="74"/>
      <c r="P225" s="1467">
        <f t="shared" si="15"/>
        <v>3.8446666666666665</v>
      </c>
      <c r="Q225" s="1468">
        <f t="shared" si="16"/>
        <v>3.8446666666666665</v>
      </c>
      <c r="R225" s="1468">
        <f t="shared" ref="R225:R234" si="28">R224</f>
        <v>0</v>
      </c>
      <c r="S225" s="1469">
        <f t="shared" si="17"/>
        <v>0</v>
      </c>
      <c r="T225" s="1469">
        <f>$D$146*'Расчет базового уровня'!$I$146*24/1000</f>
        <v>0</v>
      </c>
      <c r="U225" s="1469">
        <f>$D$150*'Расчет базового уровня'!$I$170*24/1000</f>
        <v>0</v>
      </c>
      <c r="V225" s="1469">
        <f>$D$154*'Расчет базового уровня'!$I$165*24/1000</f>
        <v>0</v>
      </c>
      <c r="W225" s="1470">
        <f t="shared" si="18"/>
        <v>0</v>
      </c>
      <c r="X225" s="1471"/>
      <c r="Y225" s="1467">
        <f t="shared" si="19"/>
        <v>0.58799999999999997</v>
      </c>
      <c r="Z225" s="1468">
        <f t="shared" si="20"/>
        <v>0.58799999999999997</v>
      </c>
      <c r="AA225" s="1468">
        <f t="shared" si="21"/>
        <v>0</v>
      </c>
      <c r="AB225" s="1468">
        <f t="shared" si="22"/>
        <v>0</v>
      </c>
      <c r="AC225" s="1469">
        <f t="shared" si="23"/>
        <v>0</v>
      </c>
      <c r="AD225" s="1469">
        <f t="shared" si="24"/>
        <v>0</v>
      </c>
      <c r="AE225" s="1469">
        <f t="shared" si="25"/>
        <v>0</v>
      </c>
      <c r="AF225" s="1468">
        <f t="shared" si="26"/>
        <v>0</v>
      </c>
      <c r="AG225" s="18"/>
      <c r="AH225" s="18"/>
    </row>
    <row r="226" spans="1:34" s="8" customFormat="1" x14ac:dyDescent="0.25">
      <c r="A226" s="1292"/>
      <c r="B226" s="1477">
        <f t="shared" si="27"/>
        <v>128</v>
      </c>
      <c r="C226" s="1352" t="s">
        <v>491</v>
      </c>
      <c r="D226" s="1515"/>
      <c r="E226" s="1515"/>
      <c r="F226" s="1515">
        <v>0.66800000000000004</v>
      </c>
      <c r="G226" s="1506"/>
      <c r="H226" s="1506"/>
      <c r="I226" s="1506"/>
      <c r="J226" s="1503"/>
      <c r="K226" s="1605"/>
      <c r="L226" s="1605"/>
      <c r="M226" s="74"/>
      <c r="N226" s="74"/>
      <c r="O226" s="74"/>
      <c r="P226" s="1467">
        <f t="shared" si="15"/>
        <v>3.8446666666666665</v>
      </c>
      <c r="Q226" s="1468">
        <f t="shared" si="16"/>
        <v>3.8446666666666665</v>
      </c>
      <c r="R226" s="1468">
        <f t="shared" si="28"/>
        <v>0</v>
      </c>
      <c r="S226" s="1469">
        <f t="shared" si="17"/>
        <v>0</v>
      </c>
      <c r="T226" s="1469">
        <f>$D$146*'Расчет базового уровня'!$J$146*24/1000</f>
        <v>0</v>
      </c>
      <c r="U226" s="1469">
        <f>$D$150*'Расчет базового уровня'!$J$170*24/1000</f>
        <v>0</v>
      </c>
      <c r="V226" s="1469">
        <f>$D$154*'Расчет базового уровня'!$J$165*24/1000</f>
        <v>0</v>
      </c>
      <c r="W226" s="1470">
        <f t="shared" si="18"/>
        <v>0</v>
      </c>
      <c r="X226" s="1471"/>
      <c r="Y226" s="1467">
        <f t="shared" si="19"/>
        <v>0.66800000000000004</v>
      </c>
      <c r="Z226" s="1468">
        <f t="shared" si="20"/>
        <v>0.66800000000000004</v>
      </c>
      <c r="AA226" s="1468">
        <f t="shared" si="21"/>
        <v>0</v>
      </c>
      <c r="AB226" s="1468">
        <f t="shared" si="22"/>
        <v>0</v>
      </c>
      <c r="AC226" s="1469">
        <f t="shared" si="23"/>
        <v>0</v>
      </c>
      <c r="AD226" s="1469">
        <f t="shared" si="24"/>
        <v>0</v>
      </c>
      <c r="AE226" s="1469">
        <f t="shared" si="25"/>
        <v>0</v>
      </c>
      <c r="AF226" s="1468">
        <f t="shared" si="26"/>
        <v>0</v>
      </c>
      <c r="AG226" s="18"/>
      <c r="AH226" s="18"/>
    </row>
    <row r="227" spans="1:34" s="8" customFormat="1" x14ac:dyDescent="0.25">
      <c r="A227" s="1292"/>
      <c r="B227" s="1477">
        <f t="shared" si="27"/>
        <v>129</v>
      </c>
      <c r="C227" s="1352" t="s">
        <v>805</v>
      </c>
      <c r="D227" s="1515"/>
      <c r="E227" s="1515"/>
      <c r="F227" s="1515">
        <v>1.1040000000000001</v>
      </c>
      <c r="G227" s="1506"/>
      <c r="H227" s="1506"/>
      <c r="I227" s="1506"/>
      <c r="J227" s="1503"/>
      <c r="K227" s="1605"/>
      <c r="L227" s="1605"/>
      <c r="M227" s="74"/>
      <c r="N227" s="74"/>
      <c r="O227" s="74"/>
      <c r="P227" s="1467">
        <f t="shared" si="15"/>
        <v>3.8446666666666665</v>
      </c>
      <c r="Q227" s="1468">
        <f t="shared" si="16"/>
        <v>3.8446666666666665</v>
      </c>
      <c r="R227" s="1468">
        <f t="shared" si="28"/>
        <v>0</v>
      </c>
      <c r="S227" s="1469">
        <f t="shared" si="17"/>
        <v>0</v>
      </c>
      <c r="T227" s="1469">
        <f>$D$146*'Расчет базового уровня'!$K$146*24/1000</f>
        <v>0</v>
      </c>
      <c r="U227" s="1469">
        <f>$D$150*'Расчет базового уровня'!$K$170*24/1000</f>
        <v>0</v>
      </c>
      <c r="V227" s="1469">
        <f>$D$154*'Расчет базового уровня'!$K$165*24/1000</f>
        <v>0</v>
      </c>
      <c r="W227" s="1470">
        <f t="shared" si="18"/>
        <v>0</v>
      </c>
      <c r="X227" s="1471"/>
      <c r="Y227" s="1467">
        <f t="shared" si="19"/>
        <v>1.1040000000000001</v>
      </c>
      <c r="Z227" s="1468">
        <f t="shared" si="20"/>
        <v>1.1040000000000001</v>
      </c>
      <c r="AA227" s="1468">
        <f t="shared" si="21"/>
        <v>0</v>
      </c>
      <c r="AB227" s="1468">
        <f t="shared" si="22"/>
        <v>0</v>
      </c>
      <c r="AC227" s="1469">
        <f t="shared" si="23"/>
        <v>0</v>
      </c>
      <c r="AD227" s="1469">
        <f t="shared" si="24"/>
        <v>0</v>
      </c>
      <c r="AE227" s="1469">
        <f t="shared" si="25"/>
        <v>0</v>
      </c>
      <c r="AF227" s="1468">
        <f t="shared" si="26"/>
        <v>0</v>
      </c>
      <c r="AG227" s="18"/>
      <c r="AH227" s="18"/>
    </row>
    <row r="228" spans="1:34" s="8" customFormat="1" x14ac:dyDescent="0.25">
      <c r="A228" s="1292"/>
      <c r="B228" s="1477">
        <f t="shared" si="27"/>
        <v>130</v>
      </c>
      <c r="C228" s="1352" t="s">
        <v>806</v>
      </c>
      <c r="D228" s="1515"/>
      <c r="E228" s="1515"/>
      <c r="F228" s="1515">
        <v>0.47199999999999998</v>
      </c>
      <c r="G228" s="1506"/>
      <c r="H228" s="1506"/>
      <c r="I228" s="1506"/>
      <c r="J228" s="1503"/>
      <c r="K228" s="1605"/>
      <c r="L228" s="1605"/>
      <c r="M228" s="74"/>
      <c r="N228" s="74"/>
      <c r="O228" s="74"/>
      <c r="P228" s="1467">
        <f t="shared" si="15"/>
        <v>3.8446666666666665</v>
      </c>
      <c r="Q228" s="1468">
        <f t="shared" si="16"/>
        <v>3.8446666666666665</v>
      </c>
      <c r="R228" s="1468">
        <f t="shared" si="28"/>
        <v>0</v>
      </c>
      <c r="S228" s="1469">
        <f t="shared" si="17"/>
        <v>0</v>
      </c>
      <c r="T228" s="1469">
        <f>$D$146*'Расчет базового уровня'!$L$146*24/1000</f>
        <v>0</v>
      </c>
      <c r="U228" s="1469">
        <f>$D$150*'Расчет базового уровня'!$L$170*24/1000</f>
        <v>0</v>
      </c>
      <c r="V228" s="1469">
        <f>$D$154*'Расчет базового уровня'!$L$165*24/1000</f>
        <v>0</v>
      </c>
      <c r="W228" s="1470">
        <f t="shared" si="18"/>
        <v>0</v>
      </c>
      <c r="X228" s="1471"/>
      <c r="Y228" s="1467">
        <f t="shared" si="19"/>
        <v>0.47199999999999998</v>
      </c>
      <c r="Z228" s="1468">
        <f t="shared" si="20"/>
        <v>0.47199999999999998</v>
      </c>
      <c r="AA228" s="1468">
        <f t="shared" si="21"/>
        <v>0</v>
      </c>
      <c r="AB228" s="1468">
        <f t="shared" si="22"/>
        <v>0</v>
      </c>
      <c r="AC228" s="1469">
        <f t="shared" si="23"/>
        <v>0</v>
      </c>
      <c r="AD228" s="1469">
        <f t="shared" si="24"/>
        <v>0</v>
      </c>
      <c r="AE228" s="1469">
        <f t="shared" si="25"/>
        <v>0</v>
      </c>
      <c r="AF228" s="1468">
        <f t="shared" si="26"/>
        <v>0</v>
      </c>
      <c r="AG228" s="18"/>
      <c r="AH228" s="18"/>
    </row>
    <row r="229" spans="1:34" s="8" customFormat="1" x14ac:dyDescent="0.25">
      <c r="A229" s="1292"/>
      <c r="B229" s="1477">
        <f t="shared" si="27"/>
        <v>131</v>
      </c>
      <c r="C229" s="1352" t="s">
        <v>807</v>
      </c>
      <c r="D229" s="1515"/>
      <c r="E229" s="1515"/>
      <c r="F229" s="1515">
        <v>0.49</v>
      </c>
      <c r="G229" s="1506"/>
      <c r="H229" s="1506"/>
      <c r="I229" s="1506"/>
      <c r="J229" s="1503"/>
      <c r="K229" s="1605"/>
      <c r="L229" s="1605"/>
      <c r="M229" s="74"/>
      <c r="N229" s="74"/>
      <c r="O229" s="74"/>
      <c r="P229" s="1467">
        <f t="shared" si="15"/>
        <v>3.8446666666666665</v>
      </c>
      <c r="Q229" s="1468">
        <f t="shared" si="16"/>
        <v>3.8446666666666665</v>
      </c>
      <c r="R229" s="1468">
        <f t="shared" si="28"/>
        <v>0</v>
      </c>
      <c r="S229" s="1469">
        <f t="shared" si="17"/>
        <v>0</v>
      </c>
      <c r="T229" s="1469">
        <f>$D$146*'Расчет базового уровня'!$M$146*24/1000</f>
        <v>0</v>
      </c>
      <c r="U229" s="1469">
        <f>$D$150*'Расчет базового уровня'!$M$170*24/1000</f>
        <v>0</v>
      </c>
      <c r="V229" s="1469">
        <f>$D$154*'Расчет базового уровня'!$M$165*24/1000</f>
        <v>0</v>
      </c>
      <c r="W229" s="1470">
        <f t="shared" si="18"/>
        <v>0</v>
      </c>
      <c r="X229" s="1471"/>
      <c r="Y229" s="1467">
        <f t="shared" si="19"/>
        <v>0.49</v>
      </c>
      <c r="Z229" s="1468">
        <f t="shared" si="20"/>
        <v>0.49</v>
      </c>
      <c r="AA229" s="1468">
        <f t="shared" si="21"/>
        <v>0</v>
      </c>
      <c r="AB229" s="1468">
        <f t="shared" si="22"/>
        <v>0</v>
      </c>
      <c r="AC229" s="1469">
        <f t="shared" si="23"/>
        <v>0</v>
      </c>
      <c r="AD229" s="1469">
        <f t="shared" si="24"/>
        <v>0</v>
      </c>
      <c r="AE229" s="1469">
        <f t="shared" si="25"/>
        <v>0</v>
      </c>
      <c r="AF229" s="1468">
        <f t="shared" si="26"/>
        <v>0</v>
      </c>
      <c r="AG229" s="18"/>
      <c r="AH229" s="18"/>
    </row>
    <row r="230" spans="1:34" s="8" customFormat="1" x14ac:dyDescent="0.25">
      <c r="A230" s="1292"/>
      <c r="B230" s="1477">
        <f t="shared" si="27"/>
        <v>132</v>
      </c>
      <c r="C230" s="1352" t="s">
        <v>808</v>
      </c>
      <c r="D230" s="1515"/>
      <c r="E230" s="1515"/>
      <c r="F230" s="1515">
        <v>0.65500000000000003</v>
      </c>
      <c r="G230" s="1506"/>
      <c r="H230" s="1506"/>
      <c r="I230" s="1506"/>
      <c r="J230" s="1503"/>
      <c r="K230" s="1605"/>
      <c r="L230" s="1605"/>
      <c r="M230" s="74"/>
      <c r="N230" s="74"/>
      <c r="O230" s="74"/>
      <c r="P230" s="1467">
        <f t="shared" si="15"/>
        <v>3.8446666666666665</v>
      </c>
      <c r="Q230" s="1468">
        <f t="shared" si="16"/>
        <v>3.8446666666666665</v>
      </c>
      <c r="R230" s="1468">
        <f t="shared" si="28"/>
        <v>0</v>
      </c>
      <c r="S230" s="1469">
        <f t="shared" si="17"/>
        <v>0</v>
      </c>
      <c r="T230" s="1469">
        <f>$D$146*'Расчет базового уровня'!$N$146*24/1000</f>
        <v>0</v>
      </c>
      <c r="U230" s="1469">
        <f>$D$150*'Расчет базового уровня'!$N$170*24/1000</f>
        <v>0</v>
      </c>
      <c r="V230" s="1469">
        <f>$D$154*'Расчет базового уровня'!$N$165*24/1000</f>
        <v>0</v>
      </c>
      <c r="W230" s="1470">
        <f t="shared" si="18"/>
        <v>0</v>
      </c>
      <c r="X230" s="1471"/>
      <c r="Y230" s="1467">
        <f t="shared" si="19"/>
        <v>0.65500000000000003</v>
      </c>
      <c r="Z230" s="1468">
        <f t="shared" si="20"/>
        <v>0.65500000000000003</v>
      </c>
      <c r="AA230" s="1468">
        <f t="shared" si="21"/>
        <v>0</v>
      </c>
      <c r="AB230" s="1468">
        <f t="shared" si="22"/>
        <v>0</v>
      </c>
      <c r="AC230" s="1469">
        <f t="shared" si="23"/>
        <v>0</v>
      </c>
      <c r="AD230" s="1469">
        <f t="shared" si="24"/>
        <v>0</v>
      </c>
      <c r="AE230" s="1469">
        <f t="shared" si="25"/>
        <v>0</v>
      </c>
      <c r="AF230" s="1468">
        <f t="shared" si="26"/>
        <v>0</v>
      </c>
      <c r="AG230" s="18"/>
      <c r="AH230" s="18"/>
    </row>
    <row r="231" spans="1:34" s="8" customFormat="1" x14ac:dyDescent="0.25">
      <c r="A231" s="1292"/>
      <c r="B231" s="1477">
        <f t="shared" si="27"/>
        <v>133</v>
      </c>
      <c r="C231" s="1352" t="s">
        <v>809</v>
      </c>
      <c r="D231" s="1515"/>
      <c r="E231" s="1515"/>
      <c r="F231" s="1515">
        <v>0.56699999999999995</v>
      </c>
      <c r="G231" s="1506"/>
      <c r="H231" s="1506"/>
      <c r="I231" s="1506"/>
      <c r="J231" s="1503"/>
      <c r="K231" s="1605"/>
      <c r="L231" s="1605"/>
      <c r="M231" s="74"/>
      <c r="N231" s="74"/>
      <c r="O231" s="74"/>
      <c r="P231" s="1467">
        <f t="shared" si="15"/>
        <v>3.8446666666666665</v>
      </c>
      <c r="Q231" s="1468">
        <f t="shared" si="16"/>
        <v>3.8446666666666665</v>
      </c>
      <c r="R231" s="1468">
        <f t="shared" si="28"/>
        <v>0</v>
      </c>
      <c r="S231" s="1469">
        <f t="shared" si="17"/>
        <v>0</v>
      </c>
      <c r="T231" s="1469">
        <f>$D$146*'Расчет базового уровня'!$O$146*24/1000</f>
        <v>0</v>
      </c>
      <c r="U231" s="1469">
        <f>$D$150*'Расчет базового уровня'!$O$170*24/1000</f>
        <v>0</v>
      </c>
      <c r="V231" s="1469">
        <f>$D$154*'Расчет базового уровня'!$O$165*24/1000</f>
        <v>0</v>
      </c>
      <c r="W231" s="1470">
        <f t="shared" si="18"/>
        <v>0</v>
      </c>
      <c r="X231" s="1471"/>
      <c r="Y231" s="1467">
        <f t="shared" si="19"/>
        <v>0.56699999999999995</v>
      </c>
      <c r="Z231" s="1468">
        <f t="shared" si="20"/>
        <v>0.56699999999999995</v>
      </c>
      <c r="AA231" s="1468">
        <f t="shared" si="21"/>
        <v>0</v>
      </c>
      <c r="AB231" s="1468">
        <f t="shared" si="22"/>
        <v>0</v>
      </c>
      <c r="AC231" s="1469">
        <f t="shared" si="23"/>
        <v>0</v>
      </c>
      <c r="AD231" s="1469">
        <f t="shared" si="24"/>
        <v>0</v>
      </c>
      <c r="AE231" s="1469">
        <f t="shared" si="25"/>
        <v>0</v>
      </c>
      <c r="AF231" s="1468">
        <f t="shared" si="26"/>
        <v>0</v>
      </c>
      <c r="AG231" s="18"/>
      <c r="AH231" s="18"/>
    </row>
    <row r="232" spans="1:34" s="8" customFormat="1" x14ac:dyDescent="0.25">
      <c r="A232" s="1292"/>
      <c r="B232" s="1477">
        <f t="shared" si="27"/>
        <v>134</v>
      </c>
      <c r="C232" s="1352" t="s">
        <v>482</v>
      </c>
      <c r="D232" s="1515"/>
      <c r="E232" s="1515"/>
      <c r="F232" s="1515">
        <v>0.68700000000000006</v>
      </c>
      <c r="G232" s="1506"/>
      <c r="H232" s="1506"/>
      <c r="I232" s="1506"/>
      <c r="J232" s="1503"/>
      <c r="K232" s="1605"/>
      <c r="L232" s="1605"/>
      <c r="M232" s="74"/>
      <c r="N232" s="74"/>
      <c r="O232" s="74"/>
      <c r="P232" s="1467">
        <f t="shared" si="15"/>
        <v>3.8446666666666665</v>
      </c>
      <c r="Q232" s="1468">
        <f t="shared" si="16"/>
        <v>3.8446666666666665</v>
      </c>
      <c r="R232" s="1468">
        <f t="shared" si="28"/>
        <v>0</v>
      </c>
      <c r="S232" s="1469">
        <f t="shared" si="17"/>
        <v>0</v>
      </c>
      <c r="T232" s="1469">
        <f>$D$146*'Расчет базового уровня'!$P$146*24/1000</f>
        <v>0</v>
      </c>
      <c r="U232" s="1469">
        <f>$D$150*'Расчет базового уровня'!$P$170*24/1000</f>
        <v>0</v>
      </c>
      <c r="V232" s="1469">
        <f>$D$154*'Расчет базового уровня'!$P$165*24/1000</f>
        <v>0</v>
      </c>
      <c r="W232" s="1470">
        <f t="shared" si="18"/>
        <v>0</v>
      </c>
      <c r="X232" s="1471"/>
      <c r="Y232" s="1467">
        <f t="shared" si="19"/>
        <v>0.68700000000000006</v>
      </c>
      <c r="Z232" s="1468">
        <f t="shared" si="20"/>
        <v>0.68700000000000006</v>
      </c>
      <c r="AA232" s="1468">
        <f t="shared" si="21"/>
        <v>0</v>
      </c>
      <c r="AB232" s="1468">
        <f t="shared" si="22"/>
        <v>0</v>
      </c>
      <c r="AC232" s="1469">
        <f t="shared" si="23"/>
        <v>0</v>
      </c>
      <c r="AD232" s="1469">
        <f t="shared" si="24"/>
        <v>0</v>
      </c>
      <c r="AE232" s="1469">
        <f t="shared" si="25"/>
        <v>0</v>
      </c>
      <c r="AF232" s="1468">
        <f t="shared" si="26"/>
        <v>0</v>
      </c>
      <c r="AG232" s="18"/>
      <c r="AH232" s="18"/>
    </row>
    <row r="233" spans="1:34" s="8" customFormat="1" x14ac:dyDescent="0.25">
      <c r="A233" s="1292"/>
      <c r="B233" s="1477">
        <f t="shared" si="27"/>
        <v>135</v>
      </c>
      <c r="C233" s="1352" t="s">
        <v>486</v>
      </c>
      <c r="D233" s="1515"/>
      <c r="E233" s="1515"/>
      <c r="F233" s="1515">
        <v>0.34499999999999997</v>
      </c>
      <c r="G233" s="1506"/>
      <c r="H233" s="1506"/>
      <c r="I233" s="1506"/>
      <c r="J233" s="1503"/>
      <c r="K233" s="1605"/>
      <c r="L233" s="1605"/>
      <c r="M233" s="74"/>
      <c r="N233" s="74"/>
      <c r="O233" s="74"/>
      <c r="P233" s="1467">
        <f t="shared" si="15"/>
        <v>3.8446666666666665</v>
      </c>
      <c r="Q233" s="1468">
        <f t="shared" si="16"/>
        <v>3.8446666666666665</v>
      </c>
      <c r="R233" s="1468">
        <f t="shared" si="28"/>
        <v>0</v>
      </c>
      <c r="S233" s="1469">
        <f t="shared" si="17"/>
        <v>0</v>
      </c>
      <c r="T233" s="1469">
        <f>$D$146*'Расчет базового уровня'!$Q$146*24/1000</f>
        <v>0</v>
      </c>
      <c r="U233" s="1469">
        <f>$D$150*'Расчет базового уровня'!$Q$170*24/1000</f>
        <v>0</v>
      </c>
      <c r="V233" s="1469">
        <f>$D$154*'Расчет базового уровня'!$Q$165*24/1000</f>
        <v>0</v>
      </c>
      <c r="W233" s="1470">
        <f t="shared" si="18"/>
        <v>0</v>
      </c>
      <c r="X233" s="1471"/>
      <c r="Y233" s="1467">
        <f t="shared" si="19"/>
        <v>0.34499999999999997</v>
      </c>
      <c r="Z233" s="1468">
        <f t="shared" si="20"/>
        <v>0.34499999999999997</v>
      </c>
      <c r="AA233" s="1468">
        <f t="shared" si="21"/>
        <v>0</v>
      </c>
      <c r="AB233" s="1468">
        <f t="shared" si="22"/>
        <v>0</v>
      </c>
      <c r="AC233" s="1469">
        <f t="shared" si="23"/>
        <v>0</v>
      </c>
      <c r="AD233" s="1469">
        <f t="shared" si="24"/>
        <v>0</v>
      </c>
      <c r="AE233" s="1469">
        <f t="shared" si="25"/>
        <v>0</v>
      </c>
      <c r="AF233" s="1468">
        <f t="shared" si="26"/>
        <v>0</v>
      </c>
      <c r="AG233" s="18"/>
      <c r="AH233" s="18"/>
    </row>
    <row r="234" spans="1:34" s="8" customFormat="1" x14ac:dyDescent="0.25">
      <c r="A234" s="1292"/>
      <c r="B234" s="1477">
        <f t="shared" si="27"/>
        <v>136</v>
      </c>
      <c r="C234" s="1354" t="s">
        <v>487</v>
      </c>
      <c r="D234" s="1516"/>
      <c r="E234" s="1516"/>
      <c r="F234" s="1516">
        <v>0.69399999999999995</v>
      </c>
      <c r="G234" s="1507"/>
      <c r="H234" s="1507"/>
      <c r="I234" s="1507"/>
      <c r="J234" s="1504"/>
      <c r="K234" s="1605"/>
      <c r="L234" s="1605"/>
      <c r="M234" s="74"/>
      <c r="N234" s="74"/>
      <c r="O234" s="74"/>
      <c r="P234" s="1467">
        <f t="shared" si="15"/>
        <v>3.8446666666666665</v>
      </c>
      <c r="Q234" s="1468">
        <f t="shared" si="16"/>
        <v>3.8446666666666665</v>
      </c>
      <c r="R234" s="1468">
        <f t="shared" si="28"/>
        <v>0</v>
      </c>
      <c r="S234" s="1469">
        <f t="shared" si="17"/>
        <v>0</v>
      </c>
      <c r="T234" s="1469">
        <f>$D$146*'Расчет базового уровня'!$R$146*24/1000</f>
        <v>0</v>
      </c>
      <c r="U234" s="1469">
        <f>$D$150*'Расчет базового уровня'!$R$170*24/1000</f>
        <v>0</v>
      </c>
      <c r="V234" s="1469">
        <f>$D$154*'Расчет базового уровня'!$R$165*24/1000</f>
        <v>0</v>
      </c>
      <c r="W234" s="1470">
        <f t="shared" si="18"/>
        <v>0</v>
      </c>
      <c r="X234" s="1471"/>
      <c r="Y234" s="1467">
        <f t="shared" si="19"/>
        <v>0.69399999999999995</v>
      </c>
      <c r="Z234" s="1468">
        <f t="shared" si="20"/>
        <v>0.69399999999999995</v>
      </c>
      <c r="AA234" s="1468">
        <f t="shared" si="21"/>
        <v>0</v>
      </c>
      <c r="AB234" s="1468">
        <f t="shared" si="22"/>
        <v>0</v>
      </c>
      <c r="AC234" s="1469">
        <f t="shared" si="23"/>
        <v>0</v>
      </c>
      <c r="AD234" s="1469">
        <f t="shared" si="24"/>
        <v>0</v>
      </c>
      <c r="AE234" s="1469">
        <f t="shared" si="25"/>
        <v>0</v>
      </c>
      <c r="AF234" s="1468">
        <f t="shared" si="26"/>
        <v>0</v>
      </c>
      <c r="AG234" s="18"/>
      <c r="AH234" s="18"/>
    </row>
    <row r="235" spans="1:34" s="8" customFormat="1" x14ac:dyDescent="0.25">
      <c r="A235" s="1292"/>
      <c r="B235" s="1475"/>
      <c r="C235" s="1350" t="s">
        <v>1000</v>
      </c>
      <c r="D235" s="1431">
        <f t="shared" ref="D235:J235" si="29">SUM(D223:D234)</f>
        <v>0</v>
      </c>
      <c r="E235" s="1431">
        <f t="shared" si="29"/>
        <v>0</v>
      </c>
      <c r="F235" s="1431">
        <f t="shared" si="29"/>
        <v>7.8000700000000007</v>
      </c>
      <c r="G235" s="1431">
        <f t="shared" si="29"/>
        <v>0</v>
      </c>
      <c r="H235" s="1431">
        <f t="shared" si="29"/>
        <v>0</v>
      </c>
      <c r="I235" s="1431">
        <f t="shared" si="29"/>
        <v>0</v>
      </c>
      <c r="J235" s="1432">
        <f t="shared" si="29"/>
        <v>0</v>
      </c>
      <c r="K235" s="1605"/>
      <c r="L235" s="1605"/>
      <c r="M235" s="74"/>
      <c r="N235" s="74"/>
      <c r="O235" s="74"/>
      <c r="P235" s="1472">
        <f>SUM(P223:P234)</f>
        <v>46.136000000000003</v>
      </c>
      <c r="Q235" s="1473">
        <f>SUM(Q223:Q234)</f>
        <v>46.136000000000003</v>
      </c>
      <c r="R235" s="1472">
        <f t="shared" ref="R235" si="30">SUM(R223:R234)</f>
        <v>0</v>
      </c>
      <c r="S235" s="1472">
        <f t="shared" ref="S235" si="31">SUM(S223:S234)</f>
        <v>0</v>
      </c>
      <c r="T235" s="1472">
        <f t="shared" ref="T235" si="32">SUM(T223:T234)</f>
        <v>0</v>
      </c>
      <c r="U235" s="1472">
        <f t="shared" ref="U235" si="33">SUM(U223:U234)</f>
        <v>0</v>
      </c>
      <c r="V235" s="1472">
        <f t="shared" ref="V235" si="34">SUM(V223:V234)</f>
        <v>0</v>
      </c>
      <c r="W235" s="1472">
        <f t="shared" ref="W235" si="35">SUM(W223:W234)</f>
        <v>0</v>
      </c>
      <c r="X235" s="1471"/>
      <c r="Y235" s="1467">
        <f t="shared" si="19"/>
        <v>7.8000699999999998</v>
      </c>
      <c r="Z235" s="1468">
        <f t="shared" si="20"/>
        <v>7.8000699999999998</v>
      </c>
      <c r="AA235" s="1468">
        <f t="shared" si="21"/>
        <v>0</v>
      </c>
      <c r="AB235" s="1468">
        <f t="shared" si="22"/>
        <v>0</v>
      </c>
      <c r="AC235" s="1469">
        <f t="shared" si="23"/>
        <v>0</v>
      </c>
      <c r="AD235" s="1469">
        <f t="shared" si="24"/>
        <v>0</v>
      </c>
      <c r="AE235" s="1469">
        <f t="shared" si="25"/>
        <v>0</v>
      </c>
      <c r="AF235" s="1468">
        <f t="shared" si="26"/>
        <v>0</v>
      </c>
      <c r="AG235" s="18"/>
      <c r="AH235" s="18"/>
    </row>
    <row r="236" spans="1:34" s="8" customFormat="1" ht="29.25" customHeight="1" x14ac:dyDescent="0.25">
      <c r="A236" s="1292"/>
      <c r="B236" s="1475"/>
      <c r="C236" s="10"/>
      <c r="D236" s="10"/>
      <c r="E236" s="1513" t="str">
        <f>IF(E235&gt;10000,"Вводите показания в ТЫС кВтч","")</f>
        <v/>
      </c>
      <c r="F236" s="1598"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98"/>
      <c r="H236" s="1598"/>
      <c r="I236" s="1598"/>
      <c r="J236" s="1598"/>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5">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
      <c r="B239" s="1476">
        <f>5/8</f>
        <v>0.625</v>
      </c>
      <c r="C239" s="1600" t="s">
        <v>1431</v>
      </c>
      <c r="D239" s="1600"/>
      <c r="E239" s="1600"/>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25">
      <c r="A240" s="1292"/>
      <c r="B240" s="1477">
        <f>B234+1</f>
        <v>137</v>
      </c>
      <c r="C240" s="1408" t="s">
        <v>1868</v>
      </c>
      <c r="D240" s="1413" t="s">
        <v>724</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25">
      <c r="A242" s="18"/>
      <c r="B242" s="74"/>
      <c r="C242" s="1577" t="s">
        <v>1281</v>
      </c>
      <c r="D242" s="1577"/>
      <c r="E242" s="1577"/>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25">
      <c r="A243" s="1292"/>
      <c r="B243" s="1475"/>
      <c r="C243" s="1412" t="s">
        <v>1871</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25">
      <c r="A244" s="1292"/>
      <c r="B244" s="1477">
        <f>B240+1</f>
        <v>138</v>
      </c>
      <c r="C244" s="1417" t="s">
        <v>1872</v>
      </c>
      <c r="D244" s="1409" t="s">
        <v>1870</v>
      </c>
      <c r="E244" s="1371">
        <v>42644</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25">
      <c r="A245" s="1292"/>
      <c r="B245" s="1477">
        <f>B244+1</f>
        <v>139</v>
      </c>
      <c r="C245" s="1417" t="s">
        <v>1873</v>
      </c>
      <c r="D245" s="1371">
        <v>42510</v>
      </c>
      <c r="E245" s="1371">
        <v>42875</v>
      </c>
      <c r="F245" s="1580"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
      </c>
      <c r="G245" s="1581"/>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25">
      <c r="A246" s="1292"/>
      <c r="B246" s="1475"/>
      <c r="C246" s="1410" t="s">
        <v>1874</v>
      </c>
      <c r="D246" s="1578">
        <f>IF(OR(AND(ISBLANK(E245),ISBLANK(D245)),ISBLANK(E244)),0,IF(E245="",(DATE(E240-1,12,31)-E244+D245-DATE(E240-1,1,1)),E245-E244))</f>
        <v>231</v>
      </c>
      <c r="E246" s="1579"/>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25">
      <c r="A249" s="1292"/>
      <c r="B249" s="1477"/>
      <c r="C249" s="1434" t="s">
        <v>1422</v>
      </c>
      <c r="D249" s="1523">
        <f>IF(E245="",D245,E245)</f>
        <v>42875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5">
      <c r="B250" s="1475"/>
      <c r="C250" s="1574" t="s">
        <v>995</v>
      </c>
      <c r="D250" s="1603" t="s">
        <v>1839</v>
      </c>
      <c r="E250" s="1604"/>
      <c r="F250" s="1574" t="s">
        <v>1840</v>
      </c>
      <c r="G250" s="1574"/>
      <c r="H250" s="1575" t="s">
        <v>1282</v>
      </c>
      <c r="I250" s="1576" t="s">
        <v>1287</v>
      </c>
      <c r="J250" s="1576" t="s">
        <v>1288</v>
      </c>
      <c r="K250" s="1601"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25">
      <c r="B251" s="1475"/>
      <c r="C251" s="1574"/>
      <c r="D251" s="1361" t="s">
        <v>1002</v>
      </c>
      <c r="E251" s="1361" t="s">
        <v>1283</v>
      </c>
      <c r="F251" s="1361" t="s">
        <v>1284</v>
      </c>
      <c r="G251" s="1361" t="s">
        <v>1285</v>
      </c>
      <c r="H251" s="1575"/>
      <c r="I251" s="1576"/>
      <c r="J251" s="1576"/>
      <c r="K251" s="1602"/>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5">
      <c r="B252" s="1477">
        <f>B245+1</f>
        <v>140</v>
      </c>
      <c r="C252" s="1362" t="s">
        <v>488</v>
      </c>
      <c r="D252" s="1447">
        <f>Климатология!AI2</f>
        <v>-17.3</v>
      </c>
      <c r="E252" s="1527">
        <v>-14.65</v>
      </c>
      <c r="F252" s="1447">
        <f>Климатология!AL2</f>
        <v>1094.3</v>
      </c>
      <c r="G252" s="1447">
        <f>($D$83-IF(I252&lt;0.5*J252,8,E252))*I252</f>
        <v>1012.15</v>
      </c>
      <c r="H252" s="1451">
        <f>IF(G252=0,0,F252/G252)</f>
        <v>1.0811638591117918</v>
      </c>
      <c r="I252" s="1447">
        <v>31</v>
      </c>
      <c r="J252" s="1447">
        <v>31</v>
      </c>
      <c r="K252" s="1452">
        <f>IF(I252&lt;0.5*J252,8,E252)*I252</f>
        <v>-454.15000000000003</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5">
      <c r="B253" s="1477">
        <f>B252+1</f>
        <v>141</v>
      </c>
      <c r="C253" s="1363" t="s">
        <v>489</v>
      </c>
      <c r="D253" s="1448">
        <f>Климатология!AM2</f>
        <v>-15.7</v>
      </c>
      <c r="E253" s="1528">
        <v>-12.55</v>
      </c>
      <c r="F253" s="1448">
        <f>Климатология!AP2</f>
        <v>943.60000000000014</v>
      </c>
      <c r="G253" s="1448">
        <f t="shared" ref="G253:G255" si="36">($D$83-IF(I253&lt;0.5*J253,8,E253))*I253</f>
        <v>855.4</v>
      </c>
      <c r="H253" s="1453">
        <f t="shared" ref="H253:H264" si="37">IF(G253=0,0,F253/G253)</f>
        <v>1.1031096563011458</v>
      </c>
      <c r="I253" s="1448">
        <f>IF(MONTH($D$249)=2,DAY($D$249),IF(MONTH($D$249)&lt;2,0,J253))</f>
        <v>28</v>
      </c>
      <c r="J253" s="1448">
        <v>28</v>
      </c>
      <c r="K253" s="1454">
        <f t="shared" ref="K253:K263" si="38">IF(I253&lt;0.5*J253,8,E253)*I253</f>
        <v>-351.40000000000003</v>
      </c>
      <c r="L253" s="1360">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5">
      <c r="B254" s="1477">
        <f t="shared" ref="B254:B263" si="40">B253+1</f>
        <v>142</v>
      </c>
      <c r="C254" s="1363" t="s">
        <v>490</v>
      </c>
      <c r="D254" s="1448">
        <f>Климатология!AQ2</f>
        <v>-8.4</v>
      </c>
      <c r="E254" s="1528">
        <v>-5.29</v>
      </c>
      <c r="F254" s="1448">
        <f>Климатология!AT2</f>
        <v>818.4</v>
      </c>
      <c r="G254" s="1448">
        <f t="shared" si="36"/>
        <v>721.99</v>
      </c>
      <c r="H254" s="1453">
        <f t="shared" si="37"/>
        <v>1.1335337054529842</v>
      </c>
      <c r="I254" s="1448">
        <f>IF(MONTH($D$249)=3,DAY($D$249),IF(MONTH($D$249)&lt;3,0,J254))</f>
        <v>31</v>
      </c>
      <c r="J254" s="1448">
        <v>31</v>
      </c>
      <c r="K254" s="1454">
        <f t="shared" si="38"/>
        <v>-163.99</v>
      </c>
      <c r="L254" s="1360">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5">
      <c r="B255" s="1477">
        <f t="shared" si="40"/>
        <v>143</v>
      </c>
      <c r="C255" s="1363" t="s">
        <v>491</v>
      </c>
      <c r="D255" s="1448">
        <f>Климатология!AU2</f>
        <v>2.2000000000000002</v>
      </c>
      <c r="E255" s="1528">
        <v>10.09</v>
      </c>
      <c r="F255" s="1448">
        <f>Климатология!AX2</f>
        <v>474</v>
      </c>
      <c r="G255" s="1448">
        <f t="shared" si="36"/>
        <v>237.3</v>
      </c>
      <c r="H255" s="1453">
        <f t="shared" si="37"/>
        <v>1.9974715549936788</v>
      </c>
      <c r="I255" s="1448">
        <f>IF(MONTH($D$249)=4,DAY($D$249),IF(MONTH($D$249)&lt;4,0,J255))</f>
        <v>30</v>
      </c>
      <c r="J255" s="1448">
        <v>30</v>
      </c>
      <c r="K255" s="1454">
        <f t="shared" si="38"/>
        <v>302.7</v>
      </c>
      <c r="L255" s="1360">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5">
      <c r="B256" s="1477">
        <f t="shared" si="40"/>
        <v>144</v>
      </c>
      <c r="C256" s="1363" t="s">
        <v>805</v>
      </c>
      <c r="D256" s="1448">
        <f>Климатология!AY2</f>
        <v>11.1</v>
      </c>
      <c r="E256" s="1528">
        <v>11.48</v>
      </c>
      <c r="F256" s="1448">
        <f>Климатология!BB2</f>
        <v>31.05</v>
      </c>
      <c r="G256" s="1448">
        <f t="shared" ref="G256:G261" si="41">($D$83-IF(I256&lt;0.5*J256,8,E256))*I256</f>
        <v>130.39999999999998</v>
      </c>
      <c r="H256" s="1453">
        <f t="shared" si="37"/>
        <v>0.23811349693251538</v>
      </c>
      <c r="I256" s="1448">
        <f>IF(MONTH($D$249)=5,DAY($D$249),IF(MONTH($D$249)&lt;5,0,J256))</f>
        <v>20</v>
      </c>
      <c r="J256" s="1448">
        <v>31</v>
      </c>
      <c r="K256" s="1454">
        <f t="shared" si="38"/>
        <v>229.60000000000002</v>
      </c>
      <c r="L256" s="1360">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5">
      <c r="B257" s="1477">
        <f t="shared" si="40"/>
        <v>145</v>
      </c>
      <c r="C257" s="1363" t="s">
        <v>806</v>
      </c>
      <c r="D257" s="1448">
        <f>Климатология!BC2</f>
        <v>17</v>
      </c>
      <c r="E257" s="1528">
        <v>18.2</v>
      </c>
      <c r="F257" s="1448">
        <f>Климатология!BF2</f>
        <v>0</v>
      </c>
      <c r="G257" s="1448">
        <f t="shared" si="41"/>
        <v>0</v>
      </c>
      <c r="H257" s="1453">
        <f t="shared" si="37"/>
        <v>0</v>
      </c>
      <c r="I257" s="1448">
        <f>IF(MONTH($D$249)=6,DAY($D$249),IF(MONTH($D$249)&lt;6,0,J257))</f>
        <v>0</v>
      </c>
      <c r="J257" s="1448">
        <v>30</v>
      </c>
      <c r="K257" s="1454">
        <f t="shared" si="38"/>
        <v>0</v>
      </c>
      <c r="L257" s="1360">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5">
      <c r="B258" s="1477">
        <f t="shared" si="40"/>
        <v>146</v>
      </c>
      <c r="C258" s="1363" t="s">
        <v>807</v>
      </c>
      <c r="D258" s="1448">
        <f>Климатология!K2</f>
        <v>19.399999999999999</v>
      </c>
      <c r="E258" s="1528">
        <v>19.649999999999999</v>
      </c>
      <c r="F258" s="1448">
        <f>Климатология!N2</f>
        <v>0</v>
      </c>
      <c r="G258" s="1448">
        <f t="shared" si="41"/>
        <v>0</v>
      </c>
      <c r="H258" s="1453">
        <f t="shared" si="37"/>
        <v>0</v>
      </c>
      <c r="I258" s="1448">
        <f>IF(MONTH($D$249)=7,DAY($D$249),IF(MONTH($D$249)&lt;7,0,J258))</f>
        <v>0</v>
      </c>
      <c r="J258" s="1448">
        <v>31</v>
      </c>
      <c r="K258" s="1454">
        <f t="shared" si="38"/>
        <v>0</v>
      </c>
      <c r="L258" s="1360">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5">
      <c r="B259" s="1477">
        <f t="shared" si="40"/>
        <v>147</v>
      </c>
      <c r="C259" s="1363" t="s">
        <v>808</v>
      </c>
      <c r="D259" s="1448">
        <f>Климатология!O2</f>
        <v>16.2</v>
      </c>
      <c r="E259" s="1528">
        <v>17.04</v>
      </c>
      <c r="F259" s="1448">
        <f>Климатология!R2</f>
        <v>0</v>
      </c>
      <c r="G259" s="1448">
        <f t="shared" si="41"/>
        <v>0</v>
      </c>
      <c r="H259" s="1453">
        <f t="shared" si="37"/>
        <v>0</v>
      </c>
      <c r="I259" s="1448">
        <f>IF(MONTH($E$244)=8,J259-DAY($E$244),IF(MONTH($E$244)&lt;8,J259,0))</f>
        <v>0</v>
      </c>
      <c r="J259" s="1448">
        <v>31</v>
      </c>
      <c r="K259" s="1454">
        <f t="shared" si="38"/>
        <v>0</v>
      </c>
      <c r="L259" s="1360">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5">
      <c r="B260" s="1477">
        <f t="shared" si="40"/>
        <v>148</v>
      </c>
      <c r="C260" s="1363" t="s">
        <v>809</v>
      </c>
      <c r="D260" s="1448">
        <f>Климатология!S2</f>
        <v>10.199999999999999</v>
      </c>
      <c r="E260" s="1528">
        <v>11</v>
      </c>
      <c r="F260" s="1448">
        <f>Климатология!V2</f>
        <v>35.1</v>
      </c>
      <c r="G260" s="1448">
        <f t="shared" si="41"/>
        <v>0</v>
      </c>
      <c r="H260" s="1453">
        <f t="shared" si="37"/>
        <v>0</v>
      </c>
      <c r="I260" s="1448">
        <f>IF(MONTH($E$244)=9,J260-DAY($E$244),IF(MONTH($E$244)&lt;9,J260,0))</f>
        <v>0</v>
      </c>
      <c r="J260" s="1448">
        <v>30</v>
      </c>
      <c r="K260" s="1454">
        <f t="shared" si="38"/>
        <v>0</v>
      </c>
      <c r="L260" s="1360">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5">
      <c r="B261" s="1477">
        <f t="shared" si="40"/>
        <v>149</v>
      </c>
      <c r="C261" s="1363" t="s">
        <v>482</v>
      </c>
      <c r="D261" s="1448">
        <f>Климатология!W2</f>
        <v>2.5</v>
      </c>
      <c r="E261" s="1528">
        <v>-1.21</v>
      </c>
      <c r="F261" s="1448">
        <f>Климатология!Z2</f>
        <v>480.5</v>
      </c>
      <c r="G261" s="1448">
        <f t="shared" si="41"/>
        <v>576.30000000000007</v>
      </c>
      <c r="H261" s="1453">
        <f t="shared" si="37"/>
        <v>0.833767135172653</v>
      </c>
      <c r="I261" s="1448">
        <f>IF(MONTH(E244)=10,J261-DAY(E244),IF(MONTH(E244)&lt;10,J261,0))</f>
        <v>30</v>
      </c>
      <c r="J261" s="1448">
        <v>31</v>
      </c>
      <c r="K261" s="1454">
        <f t="shared" si="38"/>
        <v>-36.299999999999997</v>
      </c>
      <c r="L261" s="1360">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5">
      <c r="B262" s="1477">
        <f t="shared" si="40"/>
        <v>150</v>
      </c>
      <c r="C262" s="1363" t="s">
        <v>486</v>
      </c>
      <c r="D262" s="1448">
        <f>Климатология!AA2</f>
        <v>-7.4</v>
      </c>
      <c r="E262" s="1528">
        <v>-12.88</v>
      </c>
      <c r="F262" s="1454">
        <f>Климатология!AD2</f>
        <v>762</v>
      </c>
      <c r="G262" s="1448">
        <f t="shared" ref="G262:G263" si="42">($D$83-IF(I262&lt;0.5*J262,8,E262))*I262</f>
        <v>926.40000000000009</v>
      </c>
      <c r="H262" s="1453">
        <f t="shared" si="37"/>
        <v>0.82253886010362687</v>
      </c>
      <c r="I262" s="1448">
        <f>IF(MONTH(D249)=11,J262-DAY(D249),IF(MONTH(D249)&lt;11,J262,0))</f>
        <v>30</v>
      </c>
      <c r="J262" s="1448">
        <v>30</v>
      </c>
      <c r="K262" s="1454">
        <f>IF(I262&lt;0.5*J262,8,E262)*I262</f>
        <v>-386.40000000000003</v>
      </c>
      <c r="L262" s="1360">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5">
      <c r="B263" s="1477">
        <f t="shared" si="40"/>
        <v>151</v>
      </c>
      <c r="C263" s="1364" t="s">
        <v>487</v>
      </c>
      <c r="D263" s="1449">
        <f>Климатология!AE2</f>
        <v>-14.5</v>
      </c>
      <c r="E263" s="1529">
        <v>-10.67</v>
      </c>
      <c r="F263" s="1449">
        <f>Климатология!AH2</f>
        <v>1007.5</v>
      </c>
      <c r="G263" s="1449">
        <f t="shared" si="42"/>
        <v>888.7700000000001</v>
      </c>
      <c r="H263" s="1455">
        <f t="shared" si="37"/>
        <v>1.1335891175444714</v>
      </c>
      <c r="I263" s="1449">
        <f>IF(MONTH(D249)=12,J263-DAY(D249),IF(MONTH(D249)&lt;12,J263,0))</f>
        <v>31</v>
      </c>
      <c r="J263" s="1449">
        <v>31</v>
      </c>
      <c r="K263" s="1456">
        <f t="shared" si="38"/>
        <v>-330.77</v>
      </c>
      <c r="L263" s="1360">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5">
      <c r="B264" s="1475"/>
      <c r="C264" s="1365" t="s">
        <v>1286</v>
      </c>
      <c r="D264" s="1450">
        <f>Климатология!F2</f>
        <v>-8.1</v>
      </c>
      <c r="E264" s="1433">
        <f>K264</f>
        <v>-5.1545887445887448</v>
      </c>
      <c r="F264" s="1450">
        <f>Климатология!I2</f>
        <v>5768.1</v>
      </c>
      <c r="G264" s="1457">
        <f>($D$83-E264)*D246</f>
        <v>5348.71</v>
      </c>
      <c r="H264" s="1458">
        <f t="shared" si="37"/>
        <v>1.0784095604360677</v>
      </c>
      <c r="I264" s="1457"/>
      <c r="J264" s="1457"/>
      <c r="K264" s="1459">
        <f>IF(D246&lt;&gt;0,SUM(K252:K263)/D246,"")</f>
        <v>-5.1545887445887448</v>
      </c>
      <c r="L264" s="1360">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
      <c r="A266" s="1292"/>
      <c r="B266" s="1476">
        <f>6/8</f>
        <v>0.75</v>
      </c>
      <c r="C266" s="1583" t="s">
        <v>1317</v>
      </c>
      <c r="D266" s="1584"/>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25">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25">
      <c r="B268" s="1475"/>
      <c r="C268" s="1366" t="s">
        <v>1841</v>
      </c>
      <c r="D268" s="1366" t="s">
        <v>1842</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5">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5">
      <c r="B270" s="1477">
        <f>B263+1</f>
        <v>152</v>
      </c>
      <c r="C270" s="1368">
        <v>1635.75</v>
      </c>
      <c r="D270" s="1368">
        <v>2.42</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25">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35">
      <c r="B274" s="1476">
        <f>7/8</f>
        <v>0.875</v>
      </c>
      <c r="C274" s="1599" t="s">
        <v>1643</v>
      </c>
      <c r="D274" s="1599"/>
      <c r="E274" s="1599"/>
      <c r="F274" s="1599"/>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25">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25">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25">
      <c r="A278" s="1292"/>
      <c r="B278" s="1475"/>
      <c r="C278" s="1370">
        <v>3</v>
      </c>
      <c r="D278" s="14" t="s">
        <v>1639</v>
      </c>
      <c r="E278" s="1461" t="str">
        <f>IF(AND(E67="Введено верно"),"","Ошибки во вводе объемно-планировочных характеристик")</f>
        <v/>
      </c>
      <c r="F278" s="1462" t="str">
        <f t="shared" ref="F278:F287"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25">
      <c r="A279" s="1292"/>
      <c r="B279" s="1475"/>
      <c r="C279" s="1370">
        <v>4</v>
      </c>
      <c r="D279" s="14" t="s">
        <v>1647</v>
      </c>
      <c r="E279" s="1461" t="str">
        <f>IF(D179="","","Введите температурный график (поля 99-100)")</f>
        <v/>
      </c>
      <c r="F279" s="1462"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25">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25">
      <c r="A281" s="1292"/>
      <c r="B281" s="1475"/>
      <c r="C281" s="1370">
        <v>6</v>
      </c>
      <c r="D281" s="14" t="s">
        <v>1844</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25">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25">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25">
      <c r="A284" s="1292"/>
      <c r="B284" s="1475"/>
      <c r="C284" s="1370">
        <v>9</v>
      </c>
      <c r="D284" s="14" t="s">
        <v>1641</v>
      </c>
      <c r="E284" s="1461" t="str">
        <f>IF(AND(D67="",F23="",F24=""),"","МКД не подходит для программы из-за доли нежилых помещений или отсутствия в них ИПУ электроэнергии")</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25">
      <c r="A285" s="1292"/>
      <c r="B285" s="1475"/>
      <c r="C285" s="1370">
        <v>10</v>
      </c>
      <c r="D285" s="14" t="s">
        <v>1648</v>
      </c>
      <c r="E285" s="1461" t="str">
        <f>CONCATENATE(D247,E247)</f>
        <v/>
      </c>
      <c r="F285" s="1462"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25">
      <c r="A286" s="1292"/>
      <c r="B286" s="1475"/>
      <c r="C286" s="1370">
        <v>11</v>
      </c>
      <c r="D286" s="14" t="s">
        <v>1646</v>
      </c>
      <c r="E286" s="1461" t="str">
        <f>IF(OR(AND(I252&gt;0,E252=""),AND(I253&gt;0,E253=""),AND(I254&gt;0,E254=""),AND(I255&gt;0,E255=""),AND(I256&gt;0,E256=""),AND(I257&gt;0,E257=""),AND(I258&gt;0,E258=""),AND(I259&gt;0,E259=""),AND(I260&gt;0,E260=""),AND(I261&gt;0,E261=""),AND(I262&gt;0,E262=""),AND(I263&gt;0,E263=""),E264=""),"Неполный ввод температуры по месяцам!","")</f>
        <v/>
      </c>
      <c r="F286" s="1462"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25">
      <c r="A287" s="1292"/>
      <c r="B287" s="1475"/>
      <c r="C287" s="1370">
        <v>12</v>
      </c>
      <c r="D287" s="14" t="s">
        <v>1644</v>
      </c>
      <c r="E287" s="1461" t="str">
        <f>IF(E270="","","Введите тарифы")</f>
        <v/>
      </c>
      <c r="F287" s="1462"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75" x14ac:dyDescent="0.3">
      <c r="B288" s="1475"/>
      <c r="C288" s="19"/>
      <c r="D288" s="1369" t="s">
        <v>1843</v>
      </c>
      <c r="E288" s="1463" t="str">
        <f>IF(AND(E287="",E277="",E276="",E284="",E282="",E280="",E278="",E286="",E281="",E279="",E285="",E283=""),"Ошибок нет","Исправьте ошибки ввода")</f>
        <v>Ошибок нет</v>
      </c>
      <c r="F288" s="490"/>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x14ac:dyDescent="0.25">
      <c r="A289" s="1292"/>
      <c r="B289" s="1479">
        <f>IF(E288="Ошибок нет",1,0)</f>
        <v>1</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57.75" customHeight="1" thickBot="1" x14ac:dyDescent="0.4">
      <c r="B290" s="1475"/>
      <c r="C290" s="1546"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
      </c>
      <c r="D290" s="1546"/>
      <c r="E290" s="1546"/>
      <c r="F290" s="74"/>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24" thickBot="1" x14ac:dyDescent="0.4">
      <c r="B291" s="1476" t="str">
        <f>IF(E288="Ошибок нет","8/8","?/?")</f>
        <v>8/8</v>
      </c>
      <c r="C291" s="1582" t="str">
        <f>IF(AND(E288="Ошибок нет",C290=""),"ГОТОВО!   Переходите на лист "&amp;CHAR(34)&amp;"Список мероприятий"&amp;CHAR(34),"")</f>
        <v>ГОТОВО!   Переходите на лист "Список мероприятий"</v>
      </c>
      <c r="D291" s="1582"/>
      <c r="E291" s="1582"/>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5">
      <c r="B292" s="1475"/>
      <c r="C292" s="74"/>
      <c r="D292" s="74"/>
      <c r="E292" s="74"/>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5">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5">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5">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5">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5">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5">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5">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5">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5">
      <c r="B302" s="1475"/>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5">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5">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25">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25">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25">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25">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25">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25">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25">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25">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25">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25">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25">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1:E291"/>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0:E290"/>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30" priority="24">
      <formula>$D$15&lt;&gt;"выберите ниже"</formula>
    </cfRule>
  </conditionalFormatting>
  <conditionalFormatting sqref="E288">
    <cfRule type="expression" dxfId="129" priority="23">
      <formula>$E$288="Исправьте ошибки ввода"</formula>
    </cfRule>
  </conditionalFormatting>
  <conditionalFormatting sqref="D83">
    <cfRule type="expression" dxfId="128" priority="22">
      <formula>$D$83=""</formula>
    </cfRule>
  </conditionalFormatting>
  <conditionalFormatting sqref="D84">
    <cfRule type="expression" dxfId="127" priority="21">
      <formula>$D$84=""</formula>
    </cfRule>
  </conditionalFormatting>
  <conditionalFormatting sqref="D85">
    <cfRule type="expression" dxfId="126" priority="19">
      <formula>$D$85=""</formula>
    </cfRule>
  </conditionalFormatting>
  <conditionalFormatting sqref="D131:D135 F131:F135">
    <cfRule type="containsBlanks" dxfId="125" priority="18">
      <formula>LEN(TRIM(D131))=0</formula>
    </cfRule>
  </conditionalFormatting>
  <conditionalFormatting sqref="I131:I135">
    <cfRule type="containsBlanks" dxfId="124" priority="17">
      <formula>LEN(TRIM(I131))=0</formula>
    </cfRule>
  </conditionalFormatting>
  <conditionalFormatting sqref="D107:D112">
    <cfRule type="containsBlanks" dxfId="123" priority="16">
      <formula>LEN(TRIM(D107))=0</formula>
    </cfRule>
  </conditionalFormatting>
  <conditionalFormatting sqref="D14 D16">
    <cfRule type="containsBlanks" dxfId="122" priority="15">
      <formula>LEN(TRIM(D14))=0</formula>
    </cfRule>
  </conditionalFormatting>
  <conditionalFormatting sqref="E43">
    <cfRule type="expression" dxfId="121"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20"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9" priority="9">
      <formula>LEN(TRIM(D10))=0</formula>
    </cfRule>
  </conditionalFormatting>
  <conditionalFormatting sqref="C107">
    <cfRule type="containsBlanks" dxfId="118"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57150</xdr:rowOff>
                  </from>
                  <to>
                    <xdr:col>3</xdr:col>
                    <xdr:colOff>1047750</xdr:colOff>
                    <xdr:row>26</xdr:row>
                    <xdr:rowOff>352425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1019175</xdr:colOff>
                    <xdr:row>26</xdr:row>
                    <xdr:rowOff>66675</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123</xdr:row>
                    <xdr:rowOff>9525</xdr:rowOff>
                  </from>
                  <to>
                    <xdr:col>2</xdr:col>
                    <xdr:colOff>1666875</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19050</xdr:rowOff>
                  </from>
                  <to>
                    <xdr:col>2</xdr:col>
                    <xdr:colOff>3629025</xdr:colOff>
                    <xdr:row>124</xdr:row>
                    <xdr:rowOff>85725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89</xdr:row>
                    <xdr:rowOff>38100</xdr:rowOff>
                  </from>
                  <to>
                    <xdr:col>2</xdr:col>
                    <xdr:colOff>2981325</xdr:colOff>
                    <xdr:row>91</xdr:row>
                    <xdr:rowOff>28575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66675</xdr:colOff>
                    <xdr:row>87</xdr:row>
                    <xdr:rowOff>38100</xdr:rowOff>
                  </from>
                  <to>
                    <xdr:col>2</xdr:col>
                    <xdr:colOff>3752850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19050</xdr:colOff>
                    <xdr:row>87</xdr:row>
                    <xdr:rowOff>47625</xdr:rowOff>
                  </from>
                  <to>
                    <xdr:col>4</xdr:col>
                    <xdr:colOff>4029075</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104775</xdr:colOff>
                    <xdr:row>88</xdr:row>
                    <xdr:rowOff>0</xdr:rowOff>
                  </from>
                  <to>
                    <xdr:col>4</xdr:col>
                    <xdr:colOff>3895725</xdr:colOff>
                    <xdr:row>89</xdr:row>
                    <xdr:rowOff>47625</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104775</xdr:colOff>
                    <xdr:row>89</xdr:row>
                    <xdr:rowOff>57150</xdr:rowOff>
                  </from>
                  <to>
                    <xdr:col>4</xdr:col>
                    <xdr:colOff>3962400</xdr:colOff>
                    <xdr:row>90</xdr:row>
                    <xdr:rowOff>142875</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104775</xdr:colOff>
                    <xdr:row>90</xdr:row>
                    <xdr:rowOff>142875</xdr:rowOff>
                  </from>
                  <to>
                    <xdr:col>4</xdr:col>
                    <xdr:colOff>3876675</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19050</xdr:rowOff>
                  </from>
                  <to>
                    <xdr:col>3</xdr:col>
                    <xdr:colOff>1047750</xdr:colOff>
                    <xdr:row>27</xdr:row>
                    <xdr:rowOff>323850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1019175</xdr:colOff>
                    <xdr:row>27</xdr:row>
                    <xdr:rowOff>28575</xdr:rowOff>
                  </from>
                  <to>
                    <xdr:col>3</xdr:col>
                    <xdr:colOff>2124075</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276225</xdr:colOff>
                    <xdr:row>87</xdr:row>
                    <xdr:rowOff>180975</xdr:rowOff>
                  </from>
                  <to>
                    <xdr:col>2</xdr:col>
                    <xdr:colOff>2047875</xdr:colOff>
                    <xdr:row>88</xdr:row>
                    <xdr:rowOff>133350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1428750</xdr:colOff>
                    <xdr:row>88</xdr:row>
                    <xdr:rowOff>0</xdr:rowOff>
                  </from>
                  <to>
                    <xdr:col>2</xdr:col>
                    <xdr:colOff>2790825</xdr:colOff>
                    <xdr:row>88</xdr:row>
                    <xdr:rowOff>133350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3571875</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3562350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133350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3867150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57150</xdr:rowOff>
                  </from>
                  <to>
                    <xdr:col>4</xdr:col>
                    <xdr:colOff>3676650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180975</xdr:colOff>
                    <xdr:row>101</xdr:row>
                    <xdr:rowOff>38100</xdr:rowOff>
                  </from>
                  <to>
                    <xdr:col>4</xdr:col>
                    <xdr:colOff>3733800</xdr:colOff>
                    <xdr:row>101</xdr:row>
                    <xdr:rowOff>438150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57150</xdr:colOff>
                    <xdr:row>115</xdr:row>
                    <xdr:rowOff>19050</xdr:rowOff>
                  </from>
                  <to>
                    <xdr:col>3</xdr:col>
                    <xdr:colOff>0</xdr:colOff>
                    <xdr:row>120</xdr:row>
                    <xdr:rowOff>171450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219075</xdr:colOff>
                    <xdr:row>115</xdr:row>
                    <xdr:rowOff>152400</xdr:rowOff>
                  </from>
                  <to>
                    <xdr:col>2</xdr:col>
                    <xdr:colOff>3743325</xdr:colOff>
                    <xdr:row>117</xdr:row>
                    <xdr:rowOff>57150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219075</xdr:colOff>
                    <xdr:row>117</xdr:row>
                    <xdr:rowOff>47625</xdr:rowOff>
                  </from>
                  <to>
                    <xdr:col>2</xdr:col>
                    <xdr:colOff>3762375</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219075</xdr:colOff>
                    <xdr:row>118</xdr:row>
                    <xdr:rowOff>47625</xdr:rowOff>
                  </from>
                  <to>
                    <xdr:col>2</xdr:col>
                    <xdr:colOff>3714750</xdr:colOff>
                    <xdr:row>119</xdr:row>
                    <xdr:rowOff>57150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219075</xdr:colOff>
                    <xdr:row>119</xdr:row>
                    <xdr:rowOff>57150</xdr:rowOff>
                  </from>
                  <to>
                    <xdr:col>2</xdr:col>
                    <xdr:colOff>3752850</xdr:colOff>
                    <xdr:row>120</xdr:row>
                    <xdr:rowOff>161925</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85725</xdr:colOff>
                    <xdr:row>124</xdr:row>
                    <xdr:rowOff>66675</xdr:rowOff>
                  </from>
                  <to>
                    <xdr:col>2</xdr:col>
                    <xdr:colOff>3762375</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104775</xdr:colOff>
                    <xdr:row>92</xdr:row>
                    <xdr:rowOff>19050</xdr:rowOff>
                  </from>
                  <to>
                    <xdr:col>4</xdr:col>
                    <xdr:colOff>3990975</xdr:colOff>
                    <xdr:row>93</xdr:row>
                    <xdr:rowOff>142875</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66675</xdr:colOff>
                    <xdr:row>28</xdr:row>
                    <xdr:rowOff>0</xdr:rowOff>
                  </from>
                  <to>
                    <xdr:col>4</xdr:col>
                    <xdr:colOff>47625</xdr:colOff>
                    <xdr:row>29</xdr:row>
                    <xdr:rowOff>9525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66675</xdr:colOff>
                    <xdr:row>29</xdr:row>
                    <xdr:rowOff>0</xdr:rowOff>
                  </from>
                  <to>
                    <xdr:col>3</xdr:col>
                    <xdr:colOff>2371725</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66675</xdr:colOff>
                    <xdr:row>29</xdr:row>
                    <xdr:rowOff>209550</xdr:rowOff>
                  </from>
                  <to>
                    <xdr:col>4</xdr:col>
                    <xdr:colOff>133350</xdr:colOff>
                    <xdr:row>31</xdr:row>
                    <xdr:rowOff>28575</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95250</xdr:colOff>
                    <xdr:row>17</xdr:row>
                    <xdr:rowOff>0</xdr:rowOff>
                  </from>
                  <to>
                    <xdr:col>3</xdr:col>
                    <xdr:colOff>2933700</xdr:colOff>
                    <xdr:row>18</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323850</xdr:colOff>
                    <xdr:row>23</xdr:row>
                    <xdr:rowOff>0</xdr:rowOff>
                  </from>
                  <to>
                    <xdr:col>3</xdr:col>
                    <xdr:colOff>1143000</xdr:colOff>
                    <xdr:row>24</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323850</xdr:colOff>
                    <xdr:row>24</xdr:row>
                    <xdr:rowOff>0</xdr:rowOff>
                  </from>
                  <to>
                    <xdr:col>3</xdr:col>
                    <xdr:colOff>1143000</xdr:colOff>
                    <xdr:row>25</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323850</xdr:colOff>
                    <xdr:row>25</xdr:row>
                    <xdr:rowOff>0</xdr:rowOff>
                  </from>
                  <to>
                    <xdr:col>3</xdr:col>
                    <xdr:colOff>1143000</xdr:colOff>
                    <xdr:row>26</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57150</xdr:colOff>
                    <xdr:row>35</xdr:row>
                    <xdr:rowOff>19050</xdr:rowOff>
                  </from>
                  <to>
                    <xdr:col>4</xdr:col>
                    <xdr:colOff>0</xdr:colOff>
                    <xdr:row>35</xdr:row>
                    <xdr:rowOff>257175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180975</xdr:colOff>
                    <xdr:row>102</xdr:row>
                    <xdr:rowOff>85725</xdr:rowOff>
                  </from>
                  <to>
                    <xdr:col>4</xdr:col>
                    <xdr:colOff>3810000</xdr:colOff>
                    <xdr:row>102</xdr:row>
                    <xdr:rowOff>485775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30" activePane="bottomLeft" state="frozen"/>
      <selection pane="bottomLeft" activeCell="H74" sqref="H74:H75"/>
    </sheetView>
  </sheetViews>
  <sheetFormatPr defaultColWidth="9.140625" defaultRowHeight="15" x14ac:dyDescent="0.25"/>
  <cols>
    <col min="1" max="2" width="3.42578125" style="75" customWidth="1"/>
    <col min="3" max="3" width="6" style="75" customWidth="1"/>
    <col min="4" max="4" width="55.140625" style="75" customWidth="1"/>
    <col min="5" max="5" width="41.42578125" style="75" customWidth="1"/>
    <col min="6" max="11" width="13.7109375" style="75" customWidth="1"/>
    <col min="12" max="12" width="55.5703125" style="75" customWidth="1"/>
    <col min="13" max="13" width="3.5703125" style="75" customWidth="1"/>
    <col min="14" max="14" width="10.28515625" style="1267" customWidth="1"/>
    <col min="15" max="17" width="7.28515625" style="75" hidden="1" customWidth="1"/>
    <col min="18" max="18" width="8.42578125" style="75" hidden="1" customWidth="1"/>
    <col min="19" max="19" width="9" style="75" hidden="1" customWidth="1"/>
    <col min="20" max="25" width="7.28515625" style="75" hidden="1" customWidth="1"/>
    <col min="26" max="27" width="2.7109375" style="75" hidden="1" customWidth="1"/>
    <col min="28" max="29" width="2.7109375" style="211" hidden="1" customWidth="1"/>
    <col min="30" max="30" width="8.85546875" style="75" hidden="1" customWidth="1"/>
    <col min="31" max="31" width="2.7109375" style="75" hidden="1" customWidth="1"/>
    <col min="32" max="33" width="2.7109375" style="75" customWidth="1"/>
    <col min="34" max="16384" width="9.140625" style="75"/>
  </cols>
  <sheetData>
    <row r="1" spans="1:45" s="43" customFormat="1" ht="15" customHeight="1" x14ac:dyDescent="0.2">
      <c r="A1" s="40"/>
      <c r="B1" s="1683" t="s">
        <v>1661</v>
      </c>
      <c r="C1" s="1683"/>
      <c r="D1" s="1683"/>
      <c r="F1" s="1627" t="s">
        <v>1654</v>
      </c>
      <c r="G1" s="1627"/>
      <c r="H1" s="1627"/>
      <c r="I1" s="42"/>
      <c r="AB1" s="1170"/>
      <c r="AC1" s="1170"/>
    </row>
    <row r="2" spans="1:45" ht="71.25" customHeight="1" x14ac:dyDescent="0.25">
      <c r="A2" s="1379" t="s">
        <v>1845</v>
      </c>
      <c r="B2" s="74"/>
      <c r="C2" s="1667" t="s">
        <v>1476</v>
      </c>
      <c r="D2" s="1667"/>
      <c r="E2" s="1182" t="s">
        <v>1256</v>
      </c>
      <c r="F2" s="1376" t="s">
        <v>1846</v>
      </c>
      <c r="G2" s="1377" t="s">
        <v>1847</v>
      </c>
      <c r="H2" s="1378" t="s">
        <v>1369</v>
      </c>
      <c r="I2" s="1378" t="s">
        <v>1367</v>
      </c>
      <c r="J2" s="1378" t="s">
        <v>1904</v>
      </c>
      <c r="K2" s="1378" t="s">
        <v>1368</v>
      </c>
      <c r="L2" s="1182" t="s">
        <v>1257</v>
      </c>
      <c r="M2" s="74"/>
      <c r="N2" s="74"/>
      <c r="O2" s="1672" t="s">
        <v>1524</v>
      </c>
      <c r="P2" s="1673"/>
      <c r="Q2" s="1674"/>
      <c r="R2" s="1666" t="s">
        <v>1486</v>
      </c>
      <c r="S2" s="1666"/>
      <c r="T2" s="1666" t="s">
        <v>1487</v>
      </c>
      <c r="U2" s="1666"/>
      <c r="V2" s="1671" t="s">
        <v>1488</v>
      </c>
      <c r="W2" s="1671"/>
      <c r="X2" s="1666" t="s">
        <v>1493</v>
      </c>
      <c r="Y2" s="1666"/>
      <c r="Z2" s="74" t="s">
        <v>1503</v>
      </c>
      <c r="AA2" s="1183" t="s">
        <v>894</v>
      </c>
      <c r="AB2" s="1638" t="s">
        <v>896</v>
      </c>
      <c r="AC2" s="1638"/>
      <c r="AD2" s="1184" t="s">
        <v>895</v>
      </c>
      <c r="AF2" s="74"/>
      <c r="AG2" s="74"/>
      <c r="AH2" s="74"/>
      <c r="AI2" s="74"/>
      <c r="AJ2" s="74"/>
      <c r="AK2" s="74"/>
      <c r="AL2" s="74"/>
      <c r="AM2" s="74"/>
      <c r="AN2" s="74"/>
      <c r="AO2" s="74"/>
      <c r="AP2" s="74"/>
      <c r="AQ2" s="74"/>
      <c r="AR2" s="74"/>
      <c r="AS2" s="74"/>
    </row>
    <row r="3" spans="1:45" ht="20.25" customHeight="1" x14ac:dyDescent="0.25">
      <c r="A3" s="74"/>
      <c r="B3" s="74"/>
      <c r="C3" s="74"/>
      <c r="D3" s="1658" t="s">
        <v>1521</v>
      </c>
      <c r="E3" s="1658"/>
      <c r="F3" s="1658"/>
      <c r="G3" s="1658"/>
      <c r="H3" s="1658"/>
      <c r="I3" s="1658"/>
      <c r="J3" s="1658"/>
      <c r="K3" s="1658"/>
      <c r="L3" s="1658"/>
      <c r="M3" s="74"/>
      <c r="N3" s="74"/>
      <c r="O3" s="1668" t="s">
        <v>1523</v>
      </c>
      <c r="P3" s="1669"/>
      <c r="Q3" s="1670"/>
      <c r="R3" s="1666" t="s">
        <v>1486</v>
      </c>
      <c r="S3" s="1666"/>
      <c r="T3" s="1666" t="s">
        <v>1487</v>
      </c>
      <c r="U3" s="1666"/>
      <c r="V3" s="1671" t="s">
        <v>1488</v>
      </c>
      <c r="W3" s="1671"/>
      <c r="X3" s="1666" t="s">
        <v>1493</v>
      </c>
      <c r="Y3" s="1666"/>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25">
      <c r="A4" s="74"/>
      <c r="B4" s="74"/>
      <c r="C4" s="1665"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29%!</v>
      </c>
      <c r="D4" s="1665"/>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65" t="str">
        <f>'Ввод исходных данных'!G206</f>
        <v/>
      </c>
      <c r="G4" s="1665"/>
      <c r="H4" s="1665"/>
      <c r="I4" s="1665"/>
      <c r="J4" s="1665"/>
      <c r="K4" s="1665"/>
      <c r="L4" s="1186" t="str">
        <f>'Ввод исходных данных'!I206</f>
        <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25">
      <c r="A5" s="74"/>
      <c r="B5" s="74"/>
      <c r="C5" s="74"/>
      <c r="D5" s="1658" t="s">
        <v>1522</v>
      </c>
      <c r="E5" s="1658"/>
      <c r="F5" s="1658"/>
      <c r="G5" s="1658"/>
      <c r="H5" s="1658"/>
      <c r="I5" s="1658"/>
      <c r="J5" s="1658"/>
      <c r="K5" s="1658"/>
      <c r="L5" s="1658"/>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75" x14ac:dyDescent="0.25">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0.25652740458520878</v>
      </c>
      <c r="T6" s="1194"/>
      <c r="U6" s="1195">
        <f>U7+U31+U36</f>
        <v>0</v>
      </c>
      <c r="V6" s="1194"/>
      <c r="W6" s="1196">
        <f>W7+W31+W36+W18+W54+W60+W71</f>
        <v>0.1915346176311129</v>
      </c>
      <c r="X6" s="1196"/>
      <c r="Y6" s="1196">
        <f>Y54+Y71+Y31</f>
        <v>-3.8854408120412617E-2</v>
      </c>
      <c r="Z6" s="74"/>
      <c r="AA6" s="74"/>
      <c r="AB6" s="1171"/>
      <c r="AC6" s="1172"/>
      <c r="AD6" s="75">
        <f>SUM(AD8:AD77)</f>
        <v>0</v>
      </c>
      <c r="AF6" s="74"/>
      <c r="AG6" s="74"/>
      <c r="AH6" s="74"/>
      <c r="AI6" s="74"/>
      <c r="AJ6" s="74"/>
      <c r="AK6" s="74"/>
      <c r="AL6" s="74"/>
      <c r="AM6" s="74"/>
      <c r="AN6" s="74"/>
      <c r="AO6" s="74"/>
      <c r="AP6" s="74"/>
      <c r="AQ6" s="74"/>
      <c r="AR6" s="74"/>
      <c r="AS6" s="74"/>
    </row>
    <row r="7" spans="1:45" ht="15.75" x14ac:dyDescent="0.25">
      <c r="A7" s="1190" t="str">
        <f>IF(SUM(AD8:AD15)&gt;0,"Ошибка","")</f>
        <v/>
      </c>
      <c r="B7" s="74"/>
      <c r="C7" s="1191"/>
      <c r="D7" s="1192" t="s">
        <v>1424</v>
      </c>
      <c r="E7" s="1182"/>
      <c r="F7" s="1193"/>
      <c r="G7" s="1193"/>
      <c r="H7" s="1193"/>
      <c r="I7" s="1193"/>
      <c r="J7" s="1193"/>
      <c r="K7" s="1193"/>
      <c r="L7" s="1182"/>
      <c r="M7" s="74"/>
      <c r="N7" s="74"/>
      <c r="O7" s="1198">
        <f>SUM(O9,O12,O14)</f>
        <v>0</v>
      </c>
      <c r="P7" s="1198"/>
      <c r="Q7" s="1198"/>
      <c r="R7" s="1199">
        <f>O7/'Расчет базового уровня'!$D$35*1163</f>
        <v>0</v>
      </c>
      <c r="S7" s="1200">
        <f>R7</f>
        <v>0</v>
      </c>
      <c r="T7" s="1201"/>
      <c r="U7" s="1201"/>
      <c r="V7" s="1199">
        <f>(O7+P7)/'Расчет базового уровня'!$D$9*1163</f>
        <v>0</v>
      </c>
      <c r="W7" s="1202">
        <f>(S7*'Расчет базового уровня'!$D$35+'Список мероприятий'!U7*'Расчет базового уровня'!$D$15)/'Расчет базового уровня'!$D$9</f>
        <v>0</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25">
      <c r="A8" s="1204" t="str">
        <f>IF(OR(AND(AA8=0,AB8=1),AND(AA8=1,AB8=0)),"Ошибка","")</f>
        <v/>
      </c>
      <c r="B8" s="74"/>
      <c r="C8" s="1205"/>
      <c r="D8" s="1206" t="s">
        <v>1291</v>
      </c>
      <c r="E8" s="1628" t="s">
        <v>1851</v>
      </c>
      <c r="F8" s="1380" t="s">
        <v>1848</v>
      </c>
      <c r="G8" s="1380" t="s">
        <v>1310</v>
      </c>
      <c r="H8" s="1380" t="s">
        <v>1309</v>
      </c>
      <c r="I8" s="1380" t="s">
        <v>1309</v>
      </c>
      <c r="J8" s="1380" t="s">
        <v>1309</v>
      </c>
      <c r="K8" s="1380" t="s">
        <v>1309</v>
      </c>
      <c r="L8" s="1643"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25">
      <c r="A9" s="1204" t="str">
        <f>IF(OR(AND(AA9=0,AC9=TRUE)),"Ошибка","")</f>
        <v/>
      </c>
      <c r="B9" s="74"/>
      <c r="C9" s="1205"/>
      <c r="D9" s="1208" t="s">
        <v>1925</v>
      </c>
      <c r="E9" s="1655"/>
      <c r="F9" s="1685">
        <f>'Расчет базового уровня'!B134</f>
        <v>1712</v>
      </c>
      <c r="G9" s="1632"/>
      <c r="H9" s="1635">
        <f>I9+J9+K9</f>
        <v>0</v>
      </c>
      <c r="I9" s="1634"/>
      <c r="J9" s="1634">
        <f>IF(AB9=1,G9*F9,0)</f>
        <v>0</v>
      </c>
      <c r="K9" s="1634"/>
      <c r="L9" s="1644"/>
      <c r="M9" s="74"/>
      <c r="N9" s="74"/>
      <c r="O9" s="1207">
        <f>IF(AB9=1,0.024*'Расчет после реализации'!D147*'Расчет после реализации'!B134*(1/'Расчет базового уровня'!C134-1/'Расчет после реализации'!C134),0)/1163</f>
        <v>0</v>
      </c>
      <c r="P9" s="1207"/>
      <c r="Q9" s="1207"/>
      <c r="R9" s="1209">
        <f>O9*1163/'Расчет базового уровня'!$D$35</f>
        <v>0</v>
      </c>
      <c r="S9" s="1210">
        <f>R9</f>
        <v>0</v>
      </c>
      <c r="T9" s="1189"/>
      <c r="U9" s="1189"/>
      <c r="V9" s="1209">
        <f>(O9+P9)*1163/'Расчет базового уровня'!$D$9</f>
        <v>0</v>
      </c>
      <c r="W9" s="1211">
        <f>(S9*'Расчет базового уровня'!$D$35+'Список мероприятий'!U9*'Расчет базового уровня'!$D$15)/'Расчет базового уровня'!$D$9</f>
        <v>0</v>
      </c>
      <c r="X9" s="1211"/>
      <c r="Y9" s="1211"/>
      <c r="Z9" s="74">
        <f>IF(AB9-H9=1,1,0)</f>
        <v>0</v>
      </c>
      <c r="AA9" s="1203">
        <f>IF(AND('Ввод исходных данных'!$D$12&lt;2000),1,0)</f>
        <v>1</v>
      </c>
      <c r="AB9" s="1175">
        <f>IF(AND(AC9=TRUE,AA9=1),1,0)</f>
        <v>0</v>
      </c>
      <c r="AC9" s="1176" t="b">
        <v>0</v>
      </c>
      <c r="AD9" s="1203">
        <f>IF(AND(AA9=1,A9="ОШИБКА"),1,0)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25">
      <c r="A10" s="1204" t="str">
        <f>IF(OR(AND(AA10=0,AB10=1),AND(AA10=1,AB10=0)),"Ошибка","")</f>
        <v/>
      </c>
      <c r="B10" s="74"/>
      <c r="C10" s="1205"/>
      <c r="D10" s="1279" t="s">
        <v>1269</v>
      </c>
      <c r="E10" s="1655"/>
      <c r="F10" s="1686"/>
      <c r="G10" s="1688"/>
      <c r="H10" s="1635"/>
      <c r="I10" s="1634"/>
      <c r="J10" s="1634"/>
      <c r="K10" s="1634"/>
      <c r="L10" s="1644"/>
      <c r="M10" s="74"/>
      <c r="N10" s="74"/>
      <c r="O10" s="1207"/>
      <c r="P10" s="1207"/>
      <c r="Q10" s="1207"/>
      <c r="R10" s="1189"/>
      <c r="S10" s="1189"/>
      <c r="T10" s="1189"/>
      <c r="U10" s="1189"/>
      <c r="V10" s="1189"/>
      <c r="W10" s="1189"/>
      <c r="X10" s="1189"/>
      <c r="Y10" s="1189"/>
      <c r="Z10" s="74"/>
      <c r="AA10" s="1203">
        <f>IF(AND('Ввод исходных данных'!$D$12&lt;2000,AB9=1),1,0)</f>
        <v>0</v>
      </c>
      <c r="AB10" s="1175">
        <f>IF(D10="Пожалуйста, выберите технологию",0,1)</f>
        <v>0</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25">
      <c r="A11" s="1204" t="str">
        <f>IF(OR(AND(AA11=0,AB11=1),AND(AA11=1,AB11=0)),"Ошибка","")</f>
        <v/>
      </c>
      <c r="B11" s="74"/>
      <c r="C11" s="1205"/>
      <c r="D11" s="1279" t="s">
        <v>1268</v>
      </c>
      <c r="E11" s="1655"/>
      <c r="F11" s="1687"/>
      <c r="G11" s="1633"/>
      <c r="H11" s="1635"/>
      <c r="I11" s="1634"/>
      <c r="J11" s="1634"/>
      <c r="K11" s="1634"/>
      <c r="L11" s="1645"/>
      <c r="M11" s="74"/>
      <c r="N11" s="74"/>
      <c r="O11" s="1207"/>
      <c r="P11" s="1207"/>
      <c r="Q11" s="1207"/>
      <c r="R11" s="1189"/>
      <c r="S11" s="1189"/>
      <c r="T11" s="1189"/>
      <c r="U11" s="1189"/>
      <c r="V11" s="1189"/>
      <c r="W11" s="1189"/>
      <c r="X11" s="1189"/>
      <c r="Y11" s="1189"/>
      <c r="Z11" s="74"/>
      <c r="AA11" s="1203">
        <f>IF(AND('Ввод исходных данных'!$D$12&lt;2000,AB9=1),1,0)</f>
        <v>0</v>
      </c>
      <c r="AB11" s="1175">
        <f>IF(D11="Пожалуйста, выберите толщину утеплителя, см",0,1)</f>
        <v>0</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25">
      <c r="A12" s="1204" t="str">
        <f>IF(OR(AND(AA12=0,AC12=TRUE)),"Ошибка","")</f>
        <v/>
      </c>
      <c r="B12" s="74"/>
      <c r="C12" s="1205"/>
      <c r="D12" s="1206" t="s">
        <v>1926</v>
      </c>
      <c r="E12" s="1629"/>
      <c r="F12" s="1276">
        <f>F9</f>
        <v>1712</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1</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25">
      <c r="A14" s="1204" t="str">
        <f>IF(AND(AA14=0,AC14=TRUE),"Ошибка","")</f>
        <v/>
      </c>
      <c r="B14" s="74"/>
      <c r="C14" s="1205"/>
      <c r="D14" s="1214" t="s">
        <v>1927</v>
      </c>
      <c r="E14" s="1628" t="s">
        <v>1849</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0</v>
      </c>
      <c r="P14" s="1207"/>
      <c r="Q14" s="1207"/>
      <c r="R14" s="1209">
        <f>O14/'Расчет базового уровня'!$D$35*1163</f>
        <v>0</v>
      </c>
      <c r="S14" s="1210">
        <f>R14</f>
        <v>0</v>
      </c>
      <c r="T14" s="1189"/>
      <c r="U14" s="1189"/>
      <c r="V14" s="1211">
        <f>(O14+P14)/'Расчет базового уровня'!$D$9*1163</f>
        <v>0</v>
      </c>
      <c r="W14" s="1211">
        <f>(S14*'Расчет базового уровня'!$D$35+'Список мероприятий'!U14*'Расчет базового уровня'!$D$15)/'Расчет базового уровня'!$D$9</f>
        <v>0</v>
      </c>
      <c r="X14" s="1211"/>
      <c r="Y14" s="1211"/>
      <c r="Z14" s="74">
        <f>IF(AB14-H15=1,1,0)</f>
        <v>0</v>
      </c>
      <c r="AA14" s="1203">
        <v>1</v>
      </c>
      <c r="AB14" s="1175">
        <f>IF(AND(AA14=1,AC14=TRUE),1,0)</f>
        <v>0</v>
      </c>
      <c r="AC14" s="1176" t="b">
        <v>0</v>
      </c>
      <c r="AD14" s="1203">
        <f>IF(AND(AA14=1,A14="ОШИБКА"),1,0)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25">
      <c r="A15" s="1204" t="str">
        <f>IF(OR(AND(AA15=0,AB15=1),AND(AA15=1,AB15=0)),"Ошибка","")</f>
        <v/>
      </c>
      <c r="B15" s="74"/>
      <c r="C15" s="1205"/>
      <c r="D15" s="1281" t="s">
        <v>1271</v>
      </c>
      <c r="E15" s="1629"/>
      <c r="F15" s="1275">
        <f>'Ввод исходных данных'!G55</f>
        <v>16</v>
      </c>
      <c r="G15" s="1275"/>
      <c r="H15" s="1277">
        <f>I15+J15+K15</f>
        <v>0</v>
      </c>
      <c r="I15" s="1275"/>
      <c r="J15" s="1418">
        <f>IF(AB15=1,G15*F15,0)</f>
        <v>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0</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5" customHeight="1" x14ac:dyDescent="0.25">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75" x14ac:dyDescent="0.25">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25">
      <c r="A19" s="1204" t="str">
        <f>IF(AND(AA19=0,AB19=1),"Ошибка","")</f>
        <v/>
      </c>
      <c r="B19" s="74"/>
      <c r="C19" s="1205"/>
      <c r="D19" s="1214"/>
      <c r="E19" s="1628" t="s">
        <v>1850</v>
      </c>
      <c r="F19" s="1380" t="s">
        <v>1848</v>
      </c>
      <c r="G19" s="1380" t="s">
        <v>1310</v>
      </c>
      <c r="H19" s="1380" t="s">
        <v>1309</v>
      </c>
      <c r="I19" s="1380" t="s">
        <v>1309</v>
      </c>
      <c r="J19" s="1380" t="s">
        <v>1309</v>
      </c>
      <c r="K19" s="1380" t="s">
        <v>1309</v>
      </c>
      <c r="L19" s="1640"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25">
      <c r="A20" s="1204" t="str">
        <f>IF(AND(AA20=0,AC20=TRUE),"Ошибка","")</f>
        <v/>
      </c>
      <c r="B20" s="74"/>
      <c r="C20" s="1205"/>
      <c r="D20" s="1208" t="s">
        <v>1928</v>
      </c>
      <c r="E20" s="1655"/>
      <c r="F20" s="1639">
        <f>'Расчет базового уровня'!B138</f>
        <v>720</v>
      </c>
      <c r="G20" s="1634"/>
      <c r="H20" s="1635">
        <f>I20+J20+K20</f>
        <v>0</v>
      </c>
      <c r="I20" s="1634"/>
      <c r="J20" s="1634">
        <f>IF(AB20=1,G20*F20,0)</f>
        <v>0</v>
      </c>
      <c r="K20" s="1634"/>
      <c r="L20" s="1641"/>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0</v>
      </c>
      <c r="AB20" s="1175">
        <f>IF(AND(AA20=1,AC20=TRUE,AB21=1,AB22=1),1,0)</f>
        <v>0</v>
      </c>
      <c r="AC20" s="1176" t="b">
        <v>0</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25">
      <c r="A21" s="1204" t="str">
        <f>IF(OR(AND(AA21=0,AB21=1),AND(AA21=1,AB21=0)),"Ошибка","")</f>
        <v/>
      </c>
      <c r="B21" s="74"/>
      <c r="C21" s="1205"/>
      <c r="D21" s="1280" t="s">
        <v>1269</v>
      </c>
      <c r="E21" s="1655"/>
      <c r="F21" s="1634"/>
      <c r="G21" s="1634"/>
      <c r="H21" s="1635"/>
      <c r="I21" s="1634"/>
      <c r="J21" s="1634"/>
      <c r="K21" s="1634"/>
      <c r="L21" s="1641"/>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0</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25">
      <c r="A22" s="1204" t="str">
        <f>IF(OR(AND(AA22=0,AB22=1),AND(AA22=1,AB22=0)),"Ошибка","")</f>
        <v/>
      </c>
      <c r="B22" s="74"/>
      <c r="C22" s="1205"/>
      <c r="D22" s="1280" t="s">
        <v>1268</v>
      </c>
      <c r="E22" s="1629"/>
      <c r="F22" s="1634"/>
      <c r="G22" s="1634"/>
      <c r="H22" s="1635"/>
      <c r="I22" s="1634"/>
      <c r="J22" s="1634"/>
      <c r="K22" s="1634"/>
      <c r="L22" s="1642"/>
      <c r="M22" s="74"/>
      <c r="N22" s="74"/>
      <c r="O22" s="1207"/>
      <c r="P22" s="1207"/>
      <c r="Q22" s="1207"/>
      <c r="R22" s="1189"/>
      <c r="S22" s="1189"/>
      <c r="T22" s="1189"/>
      <c r="U22" s="1189"/>
      <c r="V22" s="1189"/>
      <c r="W22" s="1189"/>
      <c r="X22" s="1189"/>
      <c r="Y22" s="1189"/>
      <c r="Z22" s="74"/>
      <c r="AA22" s="1203">
        <f>IF(AND(списки!$D$31=0,AC20=TRUE),1,0)</f>
        <v>0</v>
      </c>
      <c r="AB22" s="1175">
        <f>IF(D22&lt;&gt;списки!O16,1,0)</f>
        <v>0</v>
      </c>
      <c r="AC22" s="1176"/>
      <c r="AD22" s="1203">
        <f>IF(AND(AA22=1,A22="ОШИБКА"),1,0)</f>
        <v>0</v>
      </c>
      <c r="AF22" s="74"/>
      <c r="AG22" s="74"/>
      <c r="AH22" s="74"/>
      <c r="AI22" s="74"/>
      <c r="AJ22" s="74"/>
      <c r="AK22" s="74"/>
      <c r="AL22" s="74"/>
      <c r="AM22" s="74"/>
      <c r="AN22" s="74"/>
      <c r="AO22" s="74"/>
      <c r="AP22" s="74"/>
      <c r="AQ22" s="74"/>
      <c r="AR22" s="74"/>
      <c r="AS22" s="74"/>
    </row>
    <row r="23" spans="1:45" x14ac:dyDescent="0.25">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25">
      <c r="A24" s="1204" t="str">
        <f>IF(AND(AA24=0,AB24=1),"Ошибка","")</f>
        <v/>
      </c>
      <c r="B24" s="74"/>
      <c r="C24" s="1205"/>
      <c r="D24" s="1217" t="s">
        <v>1929</v>
      </c>
      <c r="E24" s="1239" t="s">
        <v>1852</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1</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25">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25">
      <c r="A26" s="1204" t="str">
        <f>IF(AND(AA26=0,AB26=1),"Ошибка","")</f>
        <v/>
      </c>
      <c r="B26" s="74"/>
      <c r="C26" s="1205"/>
      <c r="D26" s="1214" t="s">
        <v>1292</v>
      </c>
      <c r="E26" s="1628" t="s">
        <v>1852</v>
      </c>
      <c r="F26" s="1380" t="s">
        <v>1848</v>
      </c>
      <c r="G26" s="1380" t="s">
        <v>1310</v>
      </c>
      <c r="H26" s="1380" t="s">
        <v>1309</v>
      </c>
      <c r="I26" s="1380" t="s">
        <v>1309</v>
      </c>
      <c r="J26" s="1380" t="s">
        <v>1309</v>
      </c>
      <c r="K26" s="1380" t="s">
        <v>1309</v>
      </c>
      <c r="L26" s="1643"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25">
      <c r="A27" s="1204" t="str">
        <f>IF(AND(AA27=0,AC27=TRUE),"Ошибка","")</f>
        <v/>
      </c>
      <c r="B27" s="74"/>
      <c r="C27" s="1205"/>
      <c r="D27" s="1208" t="s">
        <v>1930</v>
      </c>
      <c r="E27" s="1655"/>
      <c r="F27" s="1639">
        <f>'Расчет базового уровня'!B139+'Расчет базового уровня'!B140</f>
        <v>0</v>
      </c>
      <c r="G27" s="1639"/>
      <c r="H27" s="1635">
        <f>I27+J27+K27</f>
        <v>0</v>
      </c>
      <c r="I27" s="1634"/>
      <c r="J27" s="1634">
        <f>IF(AB27=1,G27*F27,0)</f>
        <v>0</v>
      </c>
      <c r="K27" s="1634"/>
      <c r="L27" s="1644"/>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0</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25">
      <c r="A28" s="1204" t="str">
        <f>IF(OR(AND(AA28=0,AB28=1),AND(AA28=1,AB28=0)),"Ошибка","")</f>
        <v/>
      </c>
      <c r="B28" s="74"/>
      <c r="C28" s="1205"/>
      <c r="D28" s="1279" t="s">
        <v>1269</v>
      </c>
      <c r="E28" s="1655"/>
      <c r="F28" s="1634"/>
      <c r="G28" s="1634"/>
      <c r="H28" s="1635"/>
      <c r="I28" s="1634"/>
      <c r="J28" s="1634"/>
      <c r="K28" s="1634"/>
      <c r="L28" s="1644"/>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25">
      <c r="A29" s="1204" t="str">
        <f>IF(OR(AND(AA29=0,AB29=1),AND(AA29=1,AB29=0)),"Ошибка","")</f>
        <v/>
      </c>
      <c r="B29" s="74"/>
      <c r="C29" s="1205"/>
      <c r="D29" s="1279" t="s">
        <v>1268</v>
      </c>
      <c r="E29" s="1629"/>
      <c r="F29" s="1634"/>
      <c r="G29" s="1634"/>
      <c r="H29" s="1635"/>
      <c r="I29" s="1634"/>
      <c r="J29" s="1634"/>
      <c r="K29" s="1634"/>
      <c r="L29" s="1645"/>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x14ac:dyDescent="0.25">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30" x14ac:dyDescent="0.25">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-303.06710314778684</v>
      </c>
      <c r="R31" s="1224">
        <f>R32+R34+R35</f>
        <v>0.22555518706704378</v>
      </c>
      <c r="S31" s="1224">
        <f>S32+S34+S35</f>
        <v>0.22555518706704378</v>
      </c>
      <c r="T31" s="1225"/>
      <c r="U31" s="1224">
        <f>U32+U34+U35</f>
        <v>0</v>
      </c>
      <c r="V31" s="1225"/>
      <c r="W31" s="1224">
        <f>W32+W34+W35</f>
        <v>0.16840940085701608</v>
      </c>
      <c r="X31" s="1224">
        <f>X32</f>
        <v>-3.8854408120412617E-2</v>
      </c>
      <c r="Y31" s="1224">
        <f>Y32</f>
        <v>-3.8854408120412617E-2</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25">
      <c r="A32" s="1204" t="str">
        <f>IF(AND(AA32=0,AB32=1),"Ошибка","")</f>
        <v/>
      </c>
      <c r="B32" s="74"/>
      <c r="C32" s="1221"/>
      <c r="D32" s="1228" t="s">
        <v>1931</v>
      </c>
      <c r="E32" s="1681" t="s">
        <v>1853</v>
      </c>
      <c r="F32" s="1634"/>
      <c r="G32" s="1639"/>
      <c r="H32" s="1635">
        <v>500000</v>
      </c>
      <c r="I32" s="1634"/>
      <c r="J32" s="1634">
        <f>IF(AB32=1,G32*F32,0)</f>
        <v>0</v>
      </c>
      <c r="K32" s="1634"/>
      <c r="L32" s="1664"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107.96041140333104</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-303.06710314778684</v>
      </c>
      <c r="R32" s="1209">
        <f>O32/'Расчет базового уровня'!$D$35*1163</f>
        <v>0.22555518706704378</v>
      </c>
      <c r="S32" s="1210">
        <f>R32</f>
        <v>0.22555518706704378</v>
      </c>
      <c r="T32" s="1209">
        <f>IF('Система ГВС'!F3=2,0,P32/'Расчет базового уровня'!$D$85*1163)</f>
        <v>0</v>
      </c>
      <c r="U32" s="1210">
        <f>T32*(1-U39)</f>
        <v>0</v>
      </c>
      <c r="V32" s="1209">
        <f>(O32+P32)/'Расчет базового уровня'!$D$9*1163</f>
        <v>0.16840940085701608</v>
      </c>
      <c r="W32" s="1211">
        <f>(S32*'Расчет базового уровня'!$D$35+'Список мероприятий'!U32*'Расчет базового уровня'!$D$15)/'Расчет базового уровня'!$D$9</f>
        <v>0.16840940085701608</v>
      </c>
      <c r="X32" s="1209">
        <f>Q32/'Расчет базового уровня'!$D$100</f>
        <v>-3.8854408120412617E-2</v>
      </c>
      <c r="Y32" s="1211">
        <f>X32</f>
        <v>-3.8854408120412617E-2</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25">
      <c r="A33" s="1204" t="str">
        <f>IF(AND(AB32=1,AB33=0),"Ошибка","")</f>
        <v/>
      </c>
      <c r="B33" s="74"/>
      <c r="C33" s="1429" t="str">
        <f>IF(AB32=1,"Выберите тип узла","")</f>
        <v>Выберите тип узла</v>
      </c>
      <c r="D33" s="1278" t="s">
        <v>1266</v>
      </c>
      <c r="E33" s="1682"/>
      <c r="F33" s="1634"/>
      <c r="G33" s="1634"/>
      <c r="H33" s="1635"/>
      <c r="I33" s="1634"/>
      <c r="J33" s="1634"/>
      <c r="K33" s="1634"/>
      <c r="L33" s="1657"/>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72" x14ac:dyDescent="0.25">
      <c r="A34" s="1204" t="str">
        <f>IF(AND(AA34=0,AC34=TRUE),"Ошибка","")</f>
        <v/>
      </c>
      <c r="B34" s="74"/>
      <c r="C34" s="1221"/>
      <c r="D34" s="1229" t="s">
        <v>1945</v>
      </c>
      <c r="E34" s="1230" t="s">
        <v>1482</v>
      </c>
      <c r="F34" s="1275"/>
      <c r="G34" s="1275"/>
      <c r="H34" s="1277">
        <f>I34+J34+K34</f>
        <v>0</v>
      </c>
      <c r="I34" s="1275"/>
      <c r="J34" s="1275"/>
      <c r="K34" s="1275"/>
      <c r="L34" s="1231" t="s">
        <v>1854</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1</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25">
      <c r="A35" s="1204" t="str">
        <f>IF(AND(AA35=0,AB35=1),"Ошибка","")</f>
        <v/>
      </c>
      <c r="B35" s="74"/>
      <c r="C35" s="1221"/>
      <c r="D35" s="1232" t="s">
        <v>1932</v>
      </c>
      <c r="E35" s="1230" t="s">
        <v>1483</v>
      </c>
      <c r="F35" s="1275"/>
      <c r="G35" s="1275"/>
      <c r="H35" s="1509">
        <f>I35+J35+K35</f>
        <v>0</v>
      </c>
      <c r="I35" s="1275"/>
      <c r="J35" s="1275">
        <f>F35*G35</f>
        <v>0</v>
      </c>
      <c r="K35" s="1275"/>
      <c r="L35" s="1231" t="s">
        <v>1855</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1</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25">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3.0972217518165014E-2</v>
      </c>
      <c r="T36" s="1225"/>
      <c r="U36" s="1235">
        <f>U37+U38+U39</f>
        <v>0</v>
      </c>
      <c r="V36" s="1225"/>
      <c r="W36" s="1235">
        <f>W37+W38+W39</f>
        <v>2.3125216774096825E-2</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25">
      <c r="A37" s="1204" t="str">
        <f>IF(AND(AA37=0,AB37=1),"Ошибка","")</f>
        <v/>
      </c>
      <c r="B37" s="74"/>
      <c r="C37" s="1221"/>
      <c r="D37" s="1236" t="s">
        <v>1295</v>
      </c>
      <c r="E37" s="1230" t="s">
        <v>1857</v>
      </c>
      <c r="F37" s="1276"/>
      <c r="G37" s="1275"/>
      <c r="H37" s="1382">
        <v>500000</v>
      </c>
      <c r="I37" s="1276"/>
      <c r="J37" s="1508">
        <f>IF(AB37=1,G37*F37,0)</f>
        <v>0</v>
      </c>
      <c r="K37" s="1276"/>
      <c r="L37" s="946"/>
      <c r="M37" s="74"/>
      <c r="N37" s="74"/>
      <c r="O37" s="1207">
        <f>IF(AB37=1,('Расчет базового уровня'!D158-'Расчет после реализации'!D158)*'Расчет базового уровня'!D13,0)</f>
        <v>19.145720000000019</v>
      </c>
      <c r="P37" s="1237"/>
      <c r="Q37" s="1237"/>
      <c r="R37" s="1211">
        <f>O37/'Расчет базового уровня'!$D$35/0.86*1000</f>
        <v>3.9992801295766808E-2</v>
      </c>
      <c r="S37" s="1211">
        <f>R37*(1-R31-S18-S7-S60-S71)</f>
        <v>3.0972217518165014E-2</v>
      </c>
      <c r="T37" s="1189"/>
      <c r="U37" s="1189"/>
      <c r="V37" s="1209">
        <f>(O37+P37)/'Расчет базового уровня'!$D$9/0.86*1000</f>
        <v>2.9860380478910604E-2</v>
      </c>
      <c r="W37" s="1211">
        <f>(S37*'Расчет базового уровня'!$D$35+'Список мероприятий'!U37*'Расчет базового уровня'!$D$15)/'Расчет базового уровня'!$D$9</f>
        <v>2.3125216774096825E-2</v>
      </c>
      <c r="X37" s="1211"/>
      <c r="Y37" s="1211"/>
      <c r="Z37" s="74">
        <f>IF(AB37-H37=1,1,0)</f>
        <v>0</v>
      </c>
      <c r="AA37" s="1203">
        <v>1</v>
      </c>
      <c r="AB37" s="1175">
        <f>IF(AC37=TRUE,1,0)</f>
        <v>1</v>
      </c>
      <c r="AC37" s="1176" t="b">
        <v>1</v>
      </c>
      <c r="AD37" s="1203">
        <f>IF(AND(AA37=1,A37="ОШИБКА"),1,0)</f>
        <v>0</v>
      </c>
      <c r="AE37" s="75" t="str">
        <f>IF(AB37=1,CONCATENATE(D37,CHAR(10)),"")</f>
        <v xml:space="preserve">Ремонт (замена) трубопроводов внутридомовой системы отопления в сочетании с тепловой изоляцией (в неотапливаемых помещениях)
</v>
      </c>
      <c r="AF37" s="74"/>
      <c r="AG37" s="74"/>
      <c r="AH37" s="74"/>
      <c r="AI37" s="74"/>
      <c r="AJ37" s="74"/>
      <c r="AK37" s="74"/>
      <c r="AL37" s="74"/>
      <c r="AM37" s="74"/>
      <c r="AN37" s="74"/>
      <c r="AO37" s="74"/>
      <c r="AP37" s="74"/>
      <c r="AQ37" s="74"/>
      <c r="AR37" s="74"/>
      <c r="AS37" s="74"/>
    </row>
    <row r="38" spans="1:45" ht="101.45" customHeight="1" x14ac:dyDescent="0.25">
      <c r="A38" s="1204" t="str">
        <f>IF(AND(AA38=0,AC38=TRUE),"Ошибка","")</f>
        <v/>
      </c>
      <c r="B38" s="74"/>
      <c r="C38" s="1221"/>
      <c r="D38" s="1238" t="s">
        <v>1933</v>
      </c>
      <c r="E38" s="1230" t="s">
        <v>1858</v>
      </c>
      <c r="F38" s="1275"/>
      <c r="G38" s="1275"/>
      <c r="H38" s="1382">
        <f>I38+J38+K38</f>
        <v>0</v>
      </c>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25">
      <c r="A39" s="1204" t="str">
        <f>IF(AND(AA39=0,AC39=TRUE),"Ошибка","")</f>
        <v/>
      </c>
      <c r="B39" s="74"/>
      <c r="C39" s="1221"/>
      <c r="D39" s="1228" t="s">
        <v>1934</v>
      </c>
      <c r="E39" s="1239" t="s">
        <v>1273</v>
      </c>
      <c r="F39" s="1275"/>
      <c r="G39" s="1275"/>
      <c r="H39" s="1277">
        <f>I39+J39+K39</f>
        <v>0</v>
      </c>
      <c r="I39" s="1275"/>
      <c r="J39" s="1275"/>
      <c r="K39" s="1275"/>
      <c r="L39" s="1231" t="s">
        <v>1880</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1</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25">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x14ac:dyDescent="0.25">
      <c r="A41" s="1240"/>
      <c r="B41" s="74"/>
      <c r="C41" s="1221"/>
      <c r="D41" s="1273">
        <f>'Ввод исходных данных'!G49+'Серии планировка'!AB76</f>
        <v>158</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25">
      <c r="A42" s="1242" t="str">
        <f>IF(AND(AA42=0,AB42=1),"Ошибка","")</f>
        <v/>
      </c>
      <c r="B42" s="74"/>
      <c r="C42" s="1221"/>
      <c r="D42" s="1214" t="s">
        <v>1276</v>
      </c>
      <c r="E42" s="1383" t="s">
        <v>1856</v>
      </c>
      <c r="F42" s="1275"/>
      <c r="G42" s="1275"/>
      <c r="H42" s="1277">
        <f>H43+H44+H45</f>
        <v>0</v>
      </c>
      <c r="I42" s="1275"/>
      <c r="J42" s="1275"/>
      <c r="K42" s="1275"/>
      <c r="L42" s="1624" t="s">
        <v>1881</v>
      </c>
      <c r="M42" s="74"/>
      <c r="N42" s="74"/>
      <c r="O42" s="1207"/>
      <c r="P42" s="1207"/>
      <c r="Q42" s="1207"/>
      <c r="R42" s="1189"/>
      <c r="S42" s="1189"/>
      <c r="T42" s="1189"/>
      <c r="U42" s="1189"/>
      <c r="V42" s="1189"/>
      <c r="W42" s="1189"/>
      <c r="X42" s="1189"/>
      <c r="Y42" s="1210">
        <f>SUM(Y43:Y45)</f>
        <v>0</v>
      </c>
      <c r="Z42" s="74"/>
      <c r="AA42" s="1203">
        <f>IF(SUM(AA43:AA45)&gt;0,1,0)</f>
        <v>0</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25">
      <c r="A43" s="1242" t="str">
        <f>IF(AND(AA43=0,AC43=TRUE),"Ошибка","")</f>
        <v/>
      </c>
      <c r="B43" s="74"/>
      <c r="C43" s="1243"/>
      <c r="D43" s="1244" t="s">
        <v>1350</v>
      </c>
      <c r="E43" s="1245"/>
      <c r="F43" s="1275"/>
      <c r="G43" s="1275"/>
      <c r="H43" s="1430">
        <f t="shared" ref="H43:H45" si="0">I43+J43+K43</f>
        <v>0</v>
      </c>
      <c r="I43" s="1275"/>
      <c r="J43" s="1275"/>
      <c r="K43" s="1275"/>
      <c r="L43" s="1625"/>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25">
      <c r="A44" s="1242" t="str">
        <f>IF(AND(AA44=0,AC44=TRUE),"Ошибка","")</f>
        <v/>
      </c>
      <c r="B44" s="74"/>
      <c r="C44" s="1243"/>
      <c r="D44" s="1244" t="s">
        <v>541</v>
      </c>
      <c r="E44" s="1245"/>
      <c r="F44" s="1275"/>
      <c r="G44" s="1275"/>
      <c r="H44" s="1430">
        <f t="shared" si="0"/>
        <v>0</v>
      </c>
      <c r="I44" s="1275"/>
      <c r="J44" s="1275"/>
      <c r="K44" s="1275"/>
      <c r="L44" s="1625"/>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0</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25">
      <c r="A45" s="1242" t="str">
        <f>IF(AND(AA45=0,AC45=TRUE),"Ошибка","")</f>
        <v/>
      </c>
      <c r="B45" s="74"/>
      <c r="C45" s="1243"/>
      <c r="D45" s="1244" t="s">
        <v>1351</v>
      </c>
      <c r="E45" s="1245"/>
      <c r="F45" s="1275"/>
      <c r="G45" s="1275"/>
      <c r="H45" s="1430">
        <f t="shared" si="0"/>
        <v>0</v>
      </c>
      <c r="I45" s="1275"/>
      <c r="J45" s="1275"/>
      <c r="K45" s="1275"/>
      <c r="L45" s="1626"/>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0</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x14ac:dyDescent="0.25">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60" x14ac:dyDescent="0.25">
      <c r="A47" s="1242" t="str">
        <f>IF(AND(AA47=0,AB47=1),"Ошибка","")</f>
        <v/>
      </c>
      <c r="B47" s="74"/>
      <c r="C47" s="1221"/>
      <c r="D47" s="1246" t="s">
        <v>1383</v>
      </c>
      <c r="E47" s="1383" t="s">
        <v>1856</v>
      </c>
      <c r="F47" s="1275"/>
      <c r="G47" s="1275"/>
      <c r="H47" s="1430">
        <f>H48+H49+H50</f>
        <v>0</v>
      </c>
      <c r="I47" s="1275"/>
      <c r="J47" s="1275"/>
      <c r="K47" s="1275"/>
      <c r="L47" s="1659" t="s">
        <v>1882</v>
      </c>
      <c r="M47" s="74"/>
      <c r="N47" s="74"/>
      <c r="O47" s="1207"/>
      <c r="P47" s="1207"/>
      <c r="Q47" s="1207"/>
      <c r="R47" s="1189"/>
      <c r="S47" s="1189"/>
      <c r="T47" s="1189"/>
      <c r="U47" s="1189"/>
      <c r="V47" s="1189"/>
      <c r="W47" s="1189"/>
      <c r="X47" s="1189"/>
      <c r="Y47" s="1210">
        <f>SUM(Y48:Y50)</f>
        <v>0</v>
      </c>
      <c r="Z47" s="74"/>
      <c r="AA47" s="1203">
        <f>IF(SUM(AA48:AA50)&gt;0,1,0)</f>
        <v>0</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25">
      <c r="A48" s="1242" t="str">
        <f>IF(AND(AA48=0,AC48=TRUE),"Ошибка","")</f>
        <v/>
      </c>
      <c r="B48" s="74"/>
      <c r="C48" s="1243"/>
      <c r="D48" s="1244" t="s">
        <v>1350</v>
      </c>
      <c r="E48" s="1245"/>
      <c r="F48" s="1275"/>
      <c r="G48" s="1275"/>
      <c r="H48" s="1430">
        <f t="shared" ref="H48:H50" si="2">I48+J48+K48</f>
        <v>0</v>
      </c>
      <c r="I48" s="1275"/>
      <c r="J48" s="1275"/>
      <c r="K48" s="1275"/>
      <c r="L48" s="1660"/>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25">
      <c r="A49" s="1242" t="str">
        <f>IF(AND(AA49=0,AC49=TRUE),"Ошибка","")</f>
        <v/>
      </c>
      <c r="B49" s="74"/>
      <c r="C49" s="1243"/>
      <c r="D49" s="1244" t="s">
        <v>541</v>
      </c>
      <c r="E49" s="1245"/>
      <c r="F49" s="1275"/>
      <c r="G49" s="1275"/>
      <c r="H49" s="1430">
        <f t="shared" si="2"/>
        <v>0</v>
      </c>
      <c r="I49" s="1275"/>
      <c r="J49" s="1275"/>
      <c r="K49" s="1275"/>
      <c r="L49" s="1660"/>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0</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25">
      <c r="A50" s="1242" t="str">
        <f>IF(AND(AA50=0,AC50=TRUE),"Ошибка","")</f>
        <v/>
      </c>
      <c r="B50" s="74"/>
      <c r="C50" s="1243"/>
      <c r="D50" s="1244" t="s">
        <v>1351</v>
      </c>
      <c r="E50" s="1245"/>
      <c r="F50" s="1275"/>
      <c r="G50" s="1275"/>
      <c r="H50" s="1430">
        <f t="shared" si="2"/>
        <v>0</v>
      </c>
      <c r="I50" s="1275"/>
      <c r="J50" s="1275"/>
      <c r="K50" s="1275"/>
      <c r="L50" s="1661"/>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0</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x14ac:dyDescent="0.25">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30" x14ac:dyDescent="0.25">
      <c r="A52" s="1242" t="str">
        <f>IF(AND(AA52=0,AC52=TRUE),"Ошибка","")</f>
        <v/>
      </c>
      <c r="B52" s="74"/>
      <c r="C52" s="1221"/>
      <c r="D52" s="1247" t="s">
        <v>1935</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0</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25">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75" x14ac:dyDescent="0.25">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5" customHeight="1" x14ac:dyDescent="0.25">
      <c r="A55" s="1242" t="str">
        <f>IF(AND(AA55=0,AC55=TRUE),"Ошибка","")</f>
        <v/>
      </c>
      <c r="B55" s="74"/>
      <c r="C55" s="1249"/>
      <c r="D55" s="1247" t="s">
        <v>1936</v>
      </c>
      <c r="E55" s="1628" t="s">
        <v>1859</v>
      </c>
      <c r="F55" s="1282"/>
      <c r="G55" s="1282"/>
      <c r="H55" s="1430">
        <f>I55+J55+K55</f>
        <v>0</v>
      </c>
      <c r="I55" s="1282"/>
      <c r="J55" s="1282"/>
      <c r="K55" s="1282"/>
      <c r="L55" s="1653"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0</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25">
      <c r="A56" s="1242" t="str">
        <f>IF(AND(AA56=0,AC56=TRUE),"Ошибка","")</f>
        <v/>
      </c>
      <c r="B56" s="74"/>
      <c r="C56" s="1249"/>
      <c r="D56" s="1247" t="s">
        <v>1937</v>
      </c>
      <c r="E56" s="1629"/>
      <c r="F56" s="1632"/>
      <c r="G56" s="1632"/>
      <c r="H56" s="1636">
        <f>I56+J56+K56</f>
        <v>0</v>
      </c>
      <c r="I56" s="1632"/>
      <c r="J56" s="1632"/>
      <c r="K56" s="1632"/>
      <c r="L56" s="1654"/>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0</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25">
      <c r="A57" s="1242"/>
      <c r="B57" s="74"/>
      <c r="C57" s="1384" t="s">
        <v>1865</v>
      </c>
      <c r="D57" s="1385"/>
      <c r="E57" s="1245" t="s">
        <v>1883</v>
      </c>
      <c r="F57" s="1633"/>
      <c r="G57" s="1633"/>
      <c r="H57" s="1637"/>
      <c r="I57" s="1633"/>
      <c r="J57" s="1633"/>
      <c r="K57" s="1633"/>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30" x14ac:dyDescent="0.25">
      <c r="A58" s="1242" t="str">
        <f>IF(AND(AA58=0,AC58=TRUE),"Ошибка","")</f>
        <v/>
      </c>
      <c r="B58" s="74"/>
      <c r="C58" s="1249"/>
      <c r="D58" s="1247" t="s">
        <v>1938</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0</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25">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75" x14ac:dyDescent="0.25">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25">
      <c r="A61" s="1204" t="str">
        <f>IF(AND(AA61=0,AB61=1),"Ошибка","")</f>
        <v/>
      </c>
      <c r="B61" s="74"/>
      <c r="C61" s="1205"/>
      <c r="D61" s="1214" t="s">
        <v>1293</v>
      </c>
      <c r="E61" s="1628" t="s">
        <v>1860</v>
      </c>
      <c r="F61" s="1380" t="s">
        <v>1848</v>
      </c>
      <c r="G61" s="1380" t="s">
        <v>1310</v>
      </c>
      <c r="H61" s="1380" t="s">
        <v>1309</v>
      </c>
      <c r="I61" s="1380" t="s">
        <v>1309</v>
      </c>
      <c r="J61" s="1380" t="s">
        <v>1309</v>
      </c>
      <c r="K61" s="1380" t="s">
        <v>1309</v>
      </c>
      <c r="L61" s="1653"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25">
      <c r="A62" s="1204" t="str">
        <f>IF(AND(AA62=0,AC62=TRUE),"Ошибка","")</f>
        <v/>
      </c>
      <c r="B62" s="74"/>
      <c r="C62" s="1205"/>
      <c r="D62" s="1208" t="s">
        <v>1939</v>
      </c>
      <c r="E62" s="1655"/>
      <c r="F62" s="1639">
        <f>'Расчет базового уровня'!B141</f>
        <v>0</v>
      </c>
      <c r="G62" s="1639"/>
      <c r="H62" s="1635">
        <f>I62+J62+K62</f>
        <v>0</v>
      </c>
      <c r="I62" s="1634"/>
      <c r="J62" s="1634">
        <f>IF(AB62=1,G62*F62,0)</f>
        <v>0</v>
      </c>
      <c r="K62" s="1634"/>
      <c r="L62" s="1656"/>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0</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25">
      <c r="A63" s="1204" t="str">
        <f>IF(OR(AND(AA63=0,AB63=1),AND(AA63=1,AB63=0)),"Ошибка","")</f>
        <v/>
      </c>
      <c r="B63" s="74"/>
      <c r="C63" s="1205"/>
      <c r="D63" s="1279" t="s">
        <v>1269</v>
      </c>
      <c r="E63" s="1655"/>
      <c r="F63" s="1634"/>
      <c r="G63" s="1634"/>
      <c r="H63" s="1635"/>
      <c r="I63" s="1634"/>
      <c r="J63" s="1634"/>
      <c r="K63" s="1634"/>
      <c r="L63" s="1656"/>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25">
      <c r="A64" s="1204" t="str">
        <f>IF(OR(AND(AA64=0,AB64=1),AND(AA64=1,AB64=0)),"Ошибка","")</f>
        <v/>
      </c>
      <c r="B64" s="74"/>
      <c r="C64" s="1205"/>
      <c r="D64" s="1279" t="s">
        <v>1268</v>
      </c>
      <c r="E64" s="1629"/>
      <c r="F64" s="1634"/>
      <c r="G64" s="1634"/>
      <c r="H64" s="1635"/>
      <c r="I64" s="1634"/>
      <c r="J64" s="1634"/>
      <c r="K64" s="1634"/>
      <c r="L64" s="1657"/>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x14ac:dyDescent="0.25">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25">
      <c r="A66" s="1204" t="str">
        <f>IF(AND(AA66=0,AB66=1),"Ошибка","")</f>
        <v/>
      </c>
      <c r="B66" s="74"/>
      <c r="C66" s="1205"/>
      <c r="D66" s="1206" t="s">
        <v>1294</v>
      </c>
      <c r="E66" s="1628" t="s">
        <v>1272</v>
      </c>
      <c r="F66" s="1380" t="s">
        <v>1848</v>
      </c>
      <c r="G66" s="1380" t="s">
        <v>1310</v>
      </c>
      <c r="H66" s="1380" t="s">
        <v>1309</v>
      </c>
      <c r="I66" s="1380" t="s">
        <v>1309</v>
      </c>
      <c r="J66" s="1380" t="s">
        <v>1309</v>
      </c>
      <c r="K66" s="1380" t="s">
        <v>1309</v>
      </c>
      <c r="L66" s="1653"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25">
      <c r="A67" s="1204" t="str">
        <f>IF(AND(AA67=0,AC67=TRUE),"Ошибка","")</f>
        <v/>
      </c>
      <c r="B67" s="74"/>
      <c r="C67" s="1205"/>
      <c r="D67" s="1216" t="str">
        <f>IF(AA67=1,"Повышение теплозащиты перекрытия над подвалом","неприменимо для данного МКД")</f>
        <v>неприменимо для данного МКД</v>
      </c>
      <c r="E67" s="1655"/>
      <c r="F67" s="1639">
        <f>'Расчет базового уровня'!B142</f>
        <v>720</v>
      </c>
      <c r="G67" s="1639"/>
      <c r="H67" s="1635">
        <f>I67+J67+K67</f>
        <v>0</v>
      </c>
      <c r="I67" s="1634"/>
      <c r="J67" s="1634">
        <f>IF(AB67=1,G67*F67,0)</f>
        <v>0</v>
      </c>
      <c r="K67" s="1634"/>
      <c r="L67" s="1656"/>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0</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25">
      <c r="A68" s="1204" t="str">
        <f>IF(OR(AND(AA68=0,AB68=1),AND(AA68=1,AB68=0)),"Ошибка","")</f>
        <v/>
      </c>
      <c r="B68" s="74"/>
      <c r="C68" s="1205"/>
      <c r="D68" s="1280" t="s">
        <v>1269</v>
      </c>
      <c r="E68" s="1655"/>
      <c r="F68" s="1634"/>
      <c r="G68" s="1634"/>
      <c r="H68" s="1635"/>
      <c r="I68" s="1634"/>
      <c r="J68" s="1634"/>
      <c r="K68" s="1634"/>
      <c r="L68" s="1656"/>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25">
      <c r="A69" s="1204" t="str">
        <f>IF(OR(AND(AA69=0,AB69=1),AND(AA69=1,AB69=0)),"Ошибка","")</f>
        <v/>
      </c>
      <c r="B69" s="74"/>
      <c r="C69" s="1205"/>
      <c r="D69" s="1279" t="s">
        <v>1268</v>
      </c>
      <c r="E69" s="1629"/>
      <c r="F69" s="1634"/>
      <c r="G69" s="1634"/>
      <c r="H69" s="1635"/>
      <c r="I69" s="1634"/>
      <c r="J69" s="1634"/>
      <c r="K69" s="1634"/>
      <c r="L69" s="1657"/>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25">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75" x14ac:dyDescent="0.25">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25">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25">
      <c r="A73" s="1204" t="str">
        <f>IF(AND(AA73=0,AC73=TRUE),"Ошибка","")</f>
        <v/>
      </c>
      <c r="B73" s="74"/>
      <c r="C73" s="1003"/>
      <c r="D73" s="1214" t="s">
        <v>1940</v>
      </c>
      <c r="E73" s="1218" t="s">
        <v>1861</v>
      </c>
      <c r="F73" s="1275">
        <f>'Ввод исходных данных'!G65</f>
        <v>4</v>
      </c>
      <c r="G73" s="1275"/>
      <c r="H73" s="1277"/>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0</v>
      </c>
      <c r="AB73" s="1175">
        <f>IF(AND(AA73=1,AC73=TRUE),1,0)</f>
        <v>0</v>
      </c>
      <c r="AC73" s="1176" t="b">
        <v>0</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5" x14ac:dyDescent="0.25">
      <c r="A74" s="1204" t="str">
        <f>IF(AND(AA74=0,AC74=TRUE),"Ошибка","")</f>
        <v/>
      </c>
      <c r="B74" s="74"/>
      <c r="C74" s="1003"/>
      <c r="D74" s="1206" t="s">
        <v>1941</v>
      </c>
      <c r="E74" s="1628" t="s">
        <v>1296</v>
      </c>
      <c r="F74" s="1634"/>
      <c r="G74" s="1634"/>
      <c r="H74" s="1635"/>
      <c r="I74" s="1634"/>
      <c r="J74" s="1634">
        <f>IF(AB74=1,G74*F74,0)</f>
        <v>0</v>
      </c>
      <c r="K74" s="1634"/>
      <c r="L74" s="1630"/>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0</v>
      </c>
      <c r="AC74" s="1176" t="b">
        <v>0</v>
      </c>
      <c r="AD74" s="1203">
        <f>IF(AND(AA74=1,A74="ОШИБКА"),1,0)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25">
      <c r="A75" s="1242"/>
      <c r="B75" s="74"/>
      <c r="C75" s="1003"/>
      <c r="D75" s="1283" t="s">
        <v>461</v>
      </c>
      <c r="E75" s="1629"/>
      <c r="F75" s="1634"/>
      <c r="G75" s="1634"/>
      <c r="H75" s="1635"/>
      <c r="I75" s="1634"/>
      <c r="J75" s="1634"/>
      <c r="K75" s="1634"/>
      <c r="L75" s="1631"/>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25">
      <c r="A76" s="1204" t="str">
        <f>IF(AND(AA76=0,AC76=TRUE),"Ошибка","")</f>
        <v/>
      </c>
      <c r="B76" s="74"/>
      <c r="C76" s="1003"/>
      <c r="D76" s="1206" t="s">
        <v>1942</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25">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25">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25" x14ac:dyDescent="0.35">
      <c r="A79" s="74"/>
      <c r="B79" s="1684" t="str">
        <f>IF(AND('Список мероприятий'!$AB$32=0,'Система отопления'!F5=0,'Система отопления'!F6=0),"Необходимо выбрать установку АУУ СО","")</f>
        <v/>
      </c>
      <c r="C79" s="1684"/>
      <c r="D79" s="1684"/>
      <c r="E79" s="1684"/>
      <c r="F79" s="1684"/>
      <c r="G79" s="1684"/>
      <c r="H79" s="1684"/>
      <c r="I79" s="1684"/>
      <c r="J79" s="1684"/>
      <c r="K79" s="1684"/>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4">
      <c r="A80" s="74"/>
      <c r="B80" s="1652"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данных'!E288="Исправьте ошибки ввода","Есть ошибки ввода исходных данных",""))</f>
        <v xml:space="preserve">ВЫБРАННЫЕ МЕРОПРИЯТИЯ: </v>
      </c>
      <c r="C80" s="1652"/>
      <c r="D80" s="1652"/>
      <c r="E80" s="1652"/>
      <c r="F80" s="1652"/>
      <c r="G80" s="1652"/>
      <c r="H80" s="1652"/>
      <c r="I80" s="1652"/>
      <c r="J80" s="1652"/>
      <c r="K80" s="1652"/>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
      <c r="A81" s="74"/>
      <c r="B81" s="1649" t="str">
        <f>IF(списки!C53=1,CONCATENATE(AE9,AE12,AE14,AE20,AE24,AE27,AE37,AE38,AE39,AE42,AE47,AE52,AE32,AE34,AE35,AE55,AE56,AE58,AE62,AE67,AE73,AE74,AE76),"")</f>
        <v xml:space="preserve">Ремонт (замена) трубопроводов внутридомовой системы отопления в сочетании с тепловой изоляцией (в неотапливаемых помещениях)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1" s="1650"/>
      <c r="D81" s="1650"/>
      <c r="E81" s="1650"/>
      <c r="F81" s="1650"/>
      <c r="G81" s="1650"/>
      <c r="H81" s="1650"/>
      <c r="I81" s="1650"/>
      <c r="J81" s="1650"/>
      <c r="K81" s="1651"/>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25">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25">
      <c r="A84" s="74"/>
      <c r="B84" s="74"/>
      <c r="C84" s="74"/>
      <c r="D84" s="1261" t="s">
        <v>834</v>
      </c>
      <c r="E84" s="1269" t="s">
        <v>1353</v>
      </c>
      <c r="F84" s="1262" t="s">
        <v>868</v>
      </c>
      <c r="G84" s="1662" t="s">
        <v>869</v>
      </c>
      <c r="H84" s="1662"/>
      <c r="I84" s="1662"/>
      <c r="J84" s="1663"/>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25">
      <c r="A85" s="74"/>
      <c r="B85" s="74"/>
      <c r="C85" s="74"/>
      <c r="D85" s="1646" t="s">
        <v>1354</v>
      </c>
      <c r="E85" s="1647"/>
      <c r="F85" s="1647"/>
      <c r="G85" s="1647"/>
      <c r="H85" s="1647"/>
      <c r="I85" s="1647"/>
      <c r="J85" s="1648"/>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25">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1000000</v>
      </c>
      <c r="G86" s="1618"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данных'!E288="Исправьте ошибки ввода","Есть ошибки ввода исходных данных",""))</f>
        <v/>
      </c>
      <c r="H86" s="1619"/>
      <c r="I86" s="1619"/>
      <c r="J86" s="1620"/>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30" x14ac:dyDescent="0.25">
      <c r="A87" s="74"/>
      <c r="B87" s="74"/>
      <c r="C87" s="74"/>
      <c r="D87" s="1398" t="s">
        <v>1633</v>
      </c>
      <c r="E87" s="1399" t="s">
        <v>1356</v>
      </c>
      <c r="F87" s="1426">
        <f>IF(списки!C51=1,"",F86/'Экономический расчет'!C26)</f>
        <v>288.0184331797235</v>
      </c>
      <c r="G87" s="1621"/>
      <c r="H87" s="1622"/>
      <c r="I87" s="1622"/>
      <c r="J87" s="1623"/>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32.25" x14ac:dyDescent="0.25">
      <c r="A88" s="74"/>
      <c r="B88" s="74"/>
      <c r="C88" s="74"/>
      <c r="D88" s="1398" t="s">
        <v>1862</v>
      </c>
      <c r="E88" s="1399" t="s">
        <v>1356</v>
      </c>
      <c r="F88" s="1426">
        <f>IF(списки!C51=1,"",F86/('Ввод исходных данных'!G45+'Ввод исходных данных'!D23))</f>
        <v>387.59689922480618</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30" x14ac:dyDescent="0.25">
      <c r="A89" s="74"/>
      <c r="B89" s="74"/>
      <c r="C89" s="74"/>
      <c r="D89" s="1398" t="s">
        <v>1884</v>
      </c>
      <c r="E89" s="1399" t="s">
        <v>1309</v>
      </c>
      <c r="F89" s="1426">
        <f>IF(списки!C53=0,"",'Экономический расчет'!C18-'Экономический расчет'!D18)</f>
        <v>206283.82690250804</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25">
      <c r="A90" s="74"/>
      <c r="B90" s="74"/>
      <c r="C90" s="74"/>
      <c r="D90" s="1388" t="s">
        <v>1863</v>
      </c>
      <c r="E90" s="1399" t="s">
        <v>1181</v>
      </c>
      <c r="F90" s="1427">
        <f>'Экономический расчет'!C35</f>
        <v>0.19324212687819453</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25">
      <c r="A91" s="74"/>
      <c r="B91" s="74"/>
      <c r="C91" s="74"/>
      <c r="D91" s="1388" t="s">
        <v>1357</v>
      </c>
      <c r="E91" s="1399" t="s">
        <v>1358</v>
      </c>
      <c r="F91" s="1428">
        <f>IF(списки!C51=1,"",'Экономический расчет'!C36)</f>
        <v>4.847689782644041</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25">
      <c r="A92" s="74"/>
      <c r="B92" s="74"/>
      <c r="C92" s="74"/>
      <c r="D92" s="1646" t="s">
        <v>1359</v>
      </c>
      <c r="E92" s="1647"/>
      <c r="F92" s="1647"/>
      <c r="G92" s="1647"/>
      <c r="H92" s="1647"/>
      <c r="I92" s="1647"/>
      <c r="J92" s="1648"/>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25">
      <c r="A93" s="74"/>
      <c r="B93" s="74"/>
      <c r="C93" s="74"/>
      <c r="D93" s="1394" t="s">
        <v>1360</v>
      </c>
      <c r="E93" s="1389" t="s">
        <v>1184</v>
      </c>
      <c r="F93" s="1421">
        <f>IF(списки!C53=0,"",'Экономический расчет'!E19)</f>
        <v>126.55800048425833</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25">
      <c r="A94" s="74"/>
      <c r="B94" s="74"/>
      <c r="C94" s="74"/>
      <c r="D94" s="1395" t="s">
        <v>1361</v>
      </c>
      <c r="E94" s="1396" t="s">
        <v>842</v>
      </c>
      <c r="F94" s="1422">
        <f>IF(списки!C53=0,"",'Экономический расчет'!E22)</f>
        <v>-303.06710314778684</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25">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303.06710314778684</v>
      </c>
      <c r="G95" s="1678" t="s">
        <v>1363</v>
      </c>
      <c r="H95" s="1679"/>
      <c r="I95" s="1679"/>
      <c r="J95" s="1680"/>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25">
      <c r="A96" s="74"/>
      <c r="B96" s="74"/>
      <c r="C96" s="74"/>
      <c r="D96" s="1397" t="s">
        <v>1364</v>
      </c>
      <c r="E96" s="1396" t="s">
        <v>842</v>
      </c>
      <c r="F96" s="1422">
        <f>IF(списки!C53=0,"",'Расчет после реализации'!D7)</f>
        <v>146883.88746004459</v>
      </c>
      <c r="G96" s="1675"/>
      <c r="H96" s="1676"/>
      <c r="I96" s="1676"/>
      <c r="J96" s="1677"/>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7.25" x14ac:dyDescent="0.25">
      <c r="A97" s="74"/>
      <c r="B97" s="74"/>
      <c r="C97" s="74"/>
      <c r="D97" s="1397" t="s">
        <v>1365</v>
      </c>
      <c r="E97" s="1396" t="s">
        <v>1366</v>
      </c>
      <c r="F97" s="1424">
        <f>IF(списки!C53=0,"",F96/('Ввод исходных данных'!G45+'Ввод исходных данных'!$G$23))</f>
        <v>56.931739325598677</v>
      </c>
      <c r="G97" s="1675"/>
      <c r="H97" s="1676"/>
      <c r="I97" s="1676"/>
      <c r="J97" s="1677"/>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25">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25">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25">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25">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25">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25">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25">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25">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25">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25">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25">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25">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25">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25">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25">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25">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25">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25">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25">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25">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25">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25">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25">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25">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25">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25">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25">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25">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25">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25">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25">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25">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25">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25">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25">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25">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25">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25">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25">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25">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25">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25">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25">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25">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25">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25">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25">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25">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25">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25">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25">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25">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25">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25">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25">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25">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25">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25">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25">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25">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25">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25">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25">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25">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25">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25">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25">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25">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25">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25">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25">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25">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25">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25">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25">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25">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25">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25">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25">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25">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41CpwP3owUB5hPqtbMhISf7f0adZnH/zPOC7LFwDrs+MQhUCkm4wd3wPpB5OLKv1U/cdsp1uFfF3liXdnrMNqg==" saltValue="vzOhOJPkX2yUKvasPv5IaQ=="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6" priority="125">
      <formula>$AA$24=0</formula>
    </cfRule>
  </conditionalFormatting>
  <conditionalFormatting sqref="D14:D15">
    <cfRule type="expression" dxfId="105" priority="126">
      <formula>$AA$14=0</formula>
    </cfRule>
  </conditionalFormatting>
  <conditionalFormatting sqref="D12">
    <cfRule type="expression" dxfId="104" priority="127">
      <formula>$AA$12=0</formula>
    </cfRule>
  </conditionalFormatting>
  <conditionalFormatting sqref="D9:D11 D20:D22 D27:D29 D62:D64 D67:D69 D35 D73">
    <cfRule type="expression" dxfId="103" priority="128">
      <formula>$AA9=0</formula>
    </cfRule>
  </conditionalFormatting>
  <conditionalFormatting sqref="D39 D41">
    <cfRule type="expression" dxfId="102" priority="131">
      <formula>$AA$39=0</formula>
    </cfRule>
  </conditionalFormatting>
  <conditionalFormatting sqref="D74:D75">
    <cfRule type="expression" dxfId="101" priority="132">
      <formula>$AA$74=0</formula>
    </cfRule>
  </conditionalFormatting>
  <conditionalFormatting sqref="D76">
    <cfRule type="expression" dxfId="100" priority="133">
      <formula>$AA$76=0</formula>
    </cfRule>
  </conditionalFormatting>
  <conditionalFormatting sqref="D36">
    <cfRule type="expression" dxfId="99" priority="149">
      <formula>$AA$37=0</formula>
    </cfRule>
  </conditionalFormatting>
  <conditionalFormatting sqref="D42">
    <cfRule type="expression" dxfId="98" priority="150">
      <formula>$AA$42=0</formula>
    </cfRule>
  </conditionalFormatting>
  <conditionalFormatting sqref="D55">
    <cfRule type="expression" dxfId="97" priority="151">
      <formula>$AA$55=0</formula>
    </cfRule>
  </conditionalFormatting>
  <conditionalFormatting sqref="A2">
    <cfRule type="expression" dxfId="96" priority="152">
      <formula>$AD$6&gt;=1</formula>
    </cfRule>
  </conditionalFormatting>
  <conditionalFormatting sqref="D56">
    <cfRule type="expression" dxfId="95" priority="153">
      <formula>$AA$56=0</formula>
    </cfRule>
  </conditionalFormatting>
  <conditionalFormatting sqref="D43">
    <cfRule type="expression" dxfId="94" priority="154">
      <formula>$AA$43=0</formula>
    </cfRule>
  </conditionalFormatting>
  <conditionalFormatting sqref="D44">
    <cfRule type="expression" dxfId="93" priority="155">
      <formula>$AA$44=0</formula>
    </cfRule>
  </conditionalFormatting>
  <conditionalFormatting sqref="D45">
    <cfRule type="expression" dxfId="92" priority="156">
      <formula>$AA$45=0</formula>
    </cfRule>
  </conditionalFormatting>
  <conditionalFormatting sqref="D48">
    <cfRule type="expression" dxfId="91" priority="157">
      <formula>$AA$48=0</formula>
    </cfRule>
  </conditionalFormatting>
  <conditionalFormatting sqref="D49">
    <cfRule type="expression" dxfId="90" priority="158">
      <formula>$AA$49=0</formula>
    </cfRule>
  </conditionalFormatting>
  <conditionalFormatting sqref="D50">
    <cfRule type="expression" dxfId="89" priority="159">
      <formula>$AA$50=0</formula>
    </cfRule>
  </conditionalFormatting>
  <conditionalFormatting sqref="D34">
    <cfRule type="expression" dxfId="88" priority="160">
      <formula>$AA$34=0</formula>
    </cfRule>
  </conditionalFormatting>
  <conditionalFormatting sqref="I9 K9 G9 F9">
    <cfRule type="expression" dxfId="87" priority="161">
      <formula>$AB$9=1</formula>
    </cfRule>
  </conditionalFormatting>
  <conditionalFormatting sqref="G12 I12 K12 F12">
    <cfRule type="expression" dxfId="86" priority="164">
      <formula>$AB$12=1</formula>
    </cfRule>
  </conditionalFormatting>
  <conditionalFormatting sqref="G15 I15 K15 F15">
    <cfRule type="expression" dxfId="85" priority="167">
      <formula>$AB$15=1</formula>
    </cfRule>
  </conditionalFormatting>
  <conditionalFormatting sqref="G20 I20 K20 F20">
    <cfRule type="expression" dxfId="84" priority="170">
      <formula>$AB$20=1</formula>
    </cfRule>
  </conditionalFormatting>
  <conditionalFormatting sqref="I24:K24">
    <cfRule type="expression" dxfId="83" priority="173">
      <formula>$AB$24=1</formula>
    </cfRule>
  </conditionalFormatting>
  <conditionalFormatting sqref="G27 I27 K27 F27">
    <cfRule type="expression" dxfId="82" priority="174">
      <formula>$AB$27=1</formula>
    </cfRule>
  </conditionalFormatting>
  <conditionalFormatting sqref="K62 I62 G62 F62">
    <cfRule type="expression" dxfId="81" priority="177">
      <formula>$AB$62=1</formula>
    </cfRule>
  </conditionalFormatting>
  <conditionalFormatting sqref="G67 I67 F67">
    <cfRule type="expression" dxfId="80" priority="180">
      <formula>$AB$67=1</formula>
    </cfRule>
  </conditionalFormatting>
  <conditionalFormatting sqref="I32 K32 F32:G32">
    <cfRule type="expression" dxfId="79" priority="183">
      <formula>$AB$32=1</formula>
    </cfRule>
  </conditionalFormatting>
  <conditionalFormatting sqref="I34:K34 F34:G34">
    <cfRule type="expression" dxfId="78" priority="189">
      <formula>$AB$34=1</formula>
    </cfRule>
  </conditionalFormatting>
  <conditionalFormatting sqref="I35:K35 F35 G35">
    <cfRule type="expression" dxfId="77" priority="190">
      <formula>$AB$35=1</formula>
    </cfRule>
  </conditionalFormatting>
  <conditionalFormatting sqref="F37:G37 I37 K37">
    <cfRule type="expression" dxfId="76" priority="191">
      <formula>$AB$37=1</formula>
    </cfRule>
  </conditionalFormatting>
  <conditionalFormatting sqref="F38:G38">
    <cfRule type="expression" dxfId="75" priority="194">
      <formula>$AB$38=1</formula>
    </cfRule>
  </conditionalFormatting>
  <conditionalFormatting sqref="I39:K39 F39:G39">
    <cfRule type="expression" dxfId="74" priority="197">
      <formula>$AB$39=1</formula>
    </cfRule>
  </conditionalFormatting>
  <conditionalFormatting sqref="F55:G55 I55:K55">
    <cfRule type="expression" dxfId="73" priority="198">
      <formula>$AB$55=1</formula>
    </cfRule>
  </conditionalFormatting>
  <conditionalFormatting sqref="F56:G57 I56:K56">
    <cfRule type="expression" dxfId="72" priority="199">
      <formula>$AB$56=1</formula>
    </cfRule>
  </conditionalFormatting>
  <conditionalFormatting sqref="I58:K58">
    <cfRule type="expression" dxfId="71" priority="200">
      <formula>$AB$58=1</formula>
    </cfRule>
  </conditionalFormatting>
  <conditionalFormatting sqref="G73 I73 K73 F73">
    <cfRule type="expression" dxfId="70" priority="201">
      <formula>$AB$73=1</formula>
    </cfRule>
  </conditionalFormatting>
  <conditionalFormatting sqref="I74:I75 K74:K75">
    <cfRule type="expression" dxfId="69" priority="204">
      <formula>$AB$74=1</formula>
    </cfRule>
  </conditionalFormatting>
  <conditionalFormatting sqref="F74:G75">
    <cfRule type="expression" dxfId="68" priority="207">
      <formula>$AB$74=1</formula>
    </cfRule>
  </conditionalFormatting>
  <conditionalFormatting sqref="I76 K76">
    <cfRule type="expression" dxfId="67" priority="210">
      <formula>$AB$76=1</formula>
    </cfRule>
  </conditionalFormatting>
  <conditionalFormatting sqref="F52:G52 I52:K52">
    <cfRule type="expression" dxfId="66" priority="211">
      <formula>$AB$52=1</formula>
    </cfRule>
  </conditionalFormatting>
  <conditionalFormatting sqref="I48:K48 F48:G48">
    <cfRule type="expression" dxfId="65" priority="212">
      <formula>$AB$48=1</formula>
    </cfRule>
  </conditionalFormatting>
  <conditionalFormatting sqref="F50:G50 I50:K50">
    <cfRule type="expression" dxfId="64" priority="213">
      <formula>$AB50=1</formula>
    </cfRule>
  </conditionalFormatting>
  <conditionalFormatting sqref="G76">
    <cfRule type="expression" dxfId="63" priority="18">
      <formula>$AB$76=1</formula>
    </cfRule>
  </conditionalFormatting>
  <conditionalFormatting sqref="F67 K67">
    <cfRule type="expression" dxfId="62" priority="17">
      <formula>$AB$67=1</formula>
    </cfRule>
  </conditionalFormatting>
  <conditionalFormatting sqref="K38">
    <cfRule type="expression" dxfId="61" priority="16">
      <formula>$AB$38=1</formula>
    </cfRule>
  </conditionalFormatting>
  <conditionalFormatting sqref="I38">
    <cfRule type="expression" dxfId="60" priority="15">
      <formula>$AB$38=1</formula>
    </cfRule>
  </conditionalFormatting>
  <conditionalFormatting sqref="D41">
    <cfRule type="expression" dxfId="59" priority="9">
      <formula>$AB$39=0</formula>
    </cfRule>
    <cfRule type="expression" dxfId="58" priority="14">
      <formula>$AB$39=1</formula>
    </cfRule>
  </conditionalFormatting>
  <conditionalFormatting sqref="D40">
    <cfRule type="expression" dxfId="57" priority="10">
      <formula>$AB$39=0</formula>
    </cfRule>
    <cfRule type="expression" dxfId="56" priority="12">
      <formula>$AA$39=0</formula>
    </cfRule>
  </conditionalFormatting>
  <conditionalFormatting sqref="D33">
    <cfRule type="expression" dxfId="55" priority="8">
      <formula>$AB$32=0</formula>
    </cfRule>
  </conditionalFormatting>
  <conditionalFormatting sqref="D38">
    <cfRule type="expression" dxfId="54" priority="7">
      <formula>$AA$37=0</formula>
    </cfRule>
  </conditionalFormatting>
  <conditionalFormatting sqref="D52">
    <cfRule type="expression" dxfId="53" priority="6">
      <formula>$AA$52=0</formula>
    </cfRule>
  </conditionalFormatting>
  <conditionalFormatting sqref="F76">
    <cfRule type="expression" dxfId="52" priority="5">
      <formula>$AB$76=1</formula>
    </cfRule>
  </conditionalFormatting>
  <conditionalFormatting sqref="F49:G49 I49:K49">
    <cfRule type="expression" dxfId="51" priority="4">
      <formula>$AB$49=1</formula>
    </cfRule>
  </conditionalFormatting>
  <conditionalFormatting sqref="F45:G45 I45:K45">
    <cfRule type="expression" dxfId="50" priority="3">
      <formula>$AB$45=1</formula>
    </cfRule>
  </conditionalFormatting>
  <conditionalFormatting sqref="F44:G44 I44:K44">
    <cfRule type="expression" dxfId="49" priority="2">
      <formula>$AB$44=1</formula>
    </cfRule>
  </conditionalFormatting>
  <conditionalFormatting sqref="F43:G43 I43:K43">
    <cfRule type="expression" dxfId="48"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23</xdr:row>
                    <xdr:rowOff>161925</xdr:rowOff>
                  </from>
                  <to>
                    <xdr:col>2</xdr:col>
                    <xdr:colOff>314325</xdr:colOff>
                    <xdr:row>23</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333375</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72</xdr:row>
                    <xdr:rowOff>304800</xdr:rowOff>
                  </from>
                  <to>
                    <xdr:col>2</xdr:col>
                    <xdr:colOff>333375</xdr:colOff>
                    <xdr:row>72</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31</xdr:row>
                    <xdr:rowOff>180975</xdr:rowOff>
                  </from>
                  <to>
                    <xdr:col>2</xdr:col>
                    <xdr:colOff>314325</xdr:colOff>
                    <xdr:row>31</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33</xdr:row>
                    <xdr:rowOff>200025</xdr:rowOff>
                  </from>
                  <to>
                    <xdr:col>2</xdr:col>
                    <xdr:colOff>342900</xdr:colOff>
                    <xdr:row>33</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36</xdr:row>
                    <xdr:rowOff>104775</xdr:rowOff>
                  </from>
                  <to>
                    <xdr:col>2</xdr:col>
                    <xdr:colOff>371475</xdr:colOff>
                    <xdr:row>36</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73</xdr:row>
                    <xdr:rowOff>219075</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75</xdr:row>
                    <xdr:rowOff>28575</xdr:rowOff>
                  </from>
                  <to>
                    <xdr:col>2</xdr:col>
                    <xdr:colOff>333375</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581025</xdr:rowOff>
                  </from>
                  <to>
                    <xdr:col>2</xdr:col>
                    <xdr:colOff>371475</xdr:colOff>
                    <xdr:row>43</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34</xdr:row>
                    <xdr:rowOff>161925</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37</xdr:row>
                    <xdr:rowOff>552450</xdr:rowOff>
                  </from>
                  <to>
                    <xdr:col>2</xdr:col>
                    <xdr:colOff>342900</xdr:colOff>
                    <xdr:row>37</xdr:row>
                    <xdr:rowOff>1000125</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38</xdr:row>
                    <xdr:rowOff>209550</xdr:rowOff>
                  </from>
                  <to>
                    <xdr:col>2</xdr:col>
                    <xdr:colOff>314325</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54</xdr:row>
                    <xdr:rowOff>209550</xdr:rowOff>
                  </from>
                  <to>
                    <xdr:col>2</xdr:col>
                    <xdr:colOff>342900</xdr:colOff>
                    <xdr:row>55</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55</xdr:row>
                    <xdr:rowOff>66675</xdr:rowOff>
                  </from>
                  <to>
                    <xdr:col>2</xdr:col>
                    <xdr:colOff>400050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742950</xdr:rowOff>
                  </from>
                  <to>
                    <xdr:col>2</xdr:col>
                    <xdr:colOff>314325</xdr:colOff>
                    <xdr:row>48</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51</xdr:row>
                    <xdr:rowOff>123825</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28575</xdr:rowOff>
                  </from>
                  <to>
                    <xdr:col>3</xdr:col>
                    <xdr:colOff>371475</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9525</xdr:rowOff>
                  </from>
                  <to>
                    <xdr:col>3</xdr:col>
                    <xdr:colOff>371475</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238125</xdr:rowOff>
                  </from>
                  <to>
                    <xdr:col>3</xdr:col>
                    <xdr:colOff>400050</xdr:colOff>
                    <xdr:row>45</xdr:row>
                    <xdr:rowOff>28575</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7</xdr:row>
                    <xdr:rowOff>219075</xdr:rowOff>
                  </from>
                  <to>
                    <xdr:col>3</xdr:col>
                    <xdr:colOff>400050</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295275</xdr:rowOff>
                  </from>
                  <to>
                    <xdr:col>3</xdr:col>
                    <xdr:colOff>400050</xdr:colOff>
                    <xdr:row>20</xdr:row>
                    <xdr:rowOff>9525</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25</xdr:row>
                    <xdr:rowOff>285750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60</xdr:row>
                    <xdr:rowOff>190500</xdr:rowOff>
                  </from>
                  <to>
                    <xdr:col>3</xdr:col>
                    <xdr:colOff>381000</xdr:colOff>
                    <xdr:row>61</xdr:row>
                    <xdr:rowOff>171450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65</xdr:row>
                    <xdr:rowOff>171450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57</xdr:row>
                    <xdr:rowOff>123825</xdr:rowOff>
                  </from>
                  <to>
                    <xdr:col>3</xdr:col>
                    <xdr:colOff>419100</xdr:colOff>
                    <xdr:row>57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14" activePane="bottomLeft" state="frozen"/>
      <selection pane="bottomLeft" activeCell="I10" sqref="I10"/>
    </sheetView>
  </sheetViews>
  <sheetFormatPr defaultColWidth="9.140625" defaultRowHeight="12.75" x14ac:dyDescent="0.2"/>
  <cols>
    <col min="1" max="1" width="9.140625" style="45"/>
    <col min="2" max="2" width="35.5703125" style="45" customWidth="1"/>
    <col min="3" max="3" width="10.42578125" style="45" customWidth="1"/>
    <col min="4" max="4" width="9.85546875" style="45" bestFit="1" customWidth="1"/>
    <col min="5" max="5" width="20.28515625" style="45" customWidth="1"/>
    <col min="6" max="6" width="13" style="45" customWidth="1"/>
    <col min="7" max="7" width="20" style="45" customWidth="1"/>
    <col min="8" max="8" width="9.85546875" style="45" customWidth="1"/>
    <col min="9" max="9" width="10.7109375" style="45" bestFit="1" customWidth="1"/>
    <col min="10" max="11" width="12" style="45" bestFit="1" customWidth="1"/>
    <col min="12" max="16384" width="9.140625" style="45"/>
  </cols>
  <sheetData>
    <row r="1" spans="1:44" s="43" customFormat="1" ht="15" customHeight="1" x14ac:dyDescent="0.2">
      <c r="A1" s="40"/>
      <c r="B1" s="1698" t="s">
        <v>1661</v>
      </c>
      <c r="C1" s="1698"/>
      <c r="D1" s="1698"/>
      <c r="E1" s="1699" t="s">
        <v>1654</v>
      </c>
      <c r="F1" s="1699"/>
      <c r="G1" s="1699"/>
      <c r="H1" s="42"/>
      <c r="I1" s="42"/>
    </row>
    <row r="2" spans="1:44" x14ac:dyDescent="0.2">
      <c r="A2" s="288"/>
      <c r="B2" s="288"/>
      <c r="C2" s="1694" t="s">
        <v>1419</v>
      </c>
      <c r="D2" s="1695"/>
      <c r="E2" s="1696"/>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2">
      <c r="A5" s="289"/>
      <c r="B5" s="290" t="s">
        <v>1501</v>
      </c>
      <c r="C5" s="169" t="s">
        <v>1309</v>
      </c>
      <c r="D5" s="1400">
        <f>'Список мероприятий'!F86</f>
        <v>1000000</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2">
      <c r="A6" s="289"/>
      <c r="B6" s="291" t="s">
        <v>1502</v>
      </c>
      <c r="C6" s="169" t="s">
        <v>1309</v>
      </c>
      <c r="D6" s="1401">
        <v>1000000</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2">
      <c r="A7" s="289"/>
      <c r="B7" s="290" t="s">
        <v>1418</v>
      </c>
      <c r="C7" s="169" t="s">
        <v>1309</v>
      </c>
      <c r="D7" s="1401"/>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2">
      <c r="A8" s="289"/>
      <c r="B8" s="290" t="s">
        <v>1755</v>
      </c>
      <c r="C8" s="169" t="s">
        <v>1756</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2">
      <c r="A9" s="289"/>
      <c r="B9" s="290" t="s">
        <v>1757</v>
      </c>
      <c r="C9" s="169" t="s">
        <v>1181</v>
      </c>
      <c r="D9" s="1401"/>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ht="25.5" x14ac:dyDescent="0.2">
      <c r="A10" s="289"/>
      <c r="B10" s="292" t="s">
        <v>1321</v>
      </c>
      <c r="C10" s="169" t="s">
        <v>1309</v>
      </c>
      <c r="D10" s="1400">
        <f>IFERROR(E23*D13,"")</f>
        <v>733.42238961764417</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x14ac:dyDescent="0.2">
      <c r="A11" s="289"/>
      <c r="B11" s="1700" t="s">
        <v>1326</v>
      </c>
      <c r="C11" s="1701"/>
      <c r="D11" s="1702"/>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2">
      <c r="A12" s="289"/>
      <c r="B12" s="293" t="s">
        <v>1313</v>
      </c>
      <c r="C12" s="1402" t="s">
        <v>1314</v>
      </c>
      <c r="D12" s="1400">
        <f>'Ввод исходных данных'!C270</f>
        <v>1635.75</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2">
      <c r="A13" s="289"/>
      <c r="B13" s="293" t="s">
        <v>1315</v>
      </c>
      <c r="C13" s="1402" t="s">
        <v>1316</v>
      </c>
      <c r="D13" s="1400">
        <f>'Ввод исходных данных'!D270</f>
        <v>2.42</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ht="12" customHeight="1" x14ac:dyDescent="0.2">
      <c r="A15" s="289"/>
      <c r="B15" s="1704" t="s">
        <v>1443</v>
      </c>
      <c r="C15" s="1705"/>
      <c r="D15" s="1705"/>
      <c r="E15" s="1705"/>
      <c r="F15" s="1705"/>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x14ac:dyDescent="0.2">
      <c r="A16" s="289"/>
      <c r="B16" s="293"/>
      <c r="C16" s="1693" t="s">
        <v>1309</v>
      </c>
      <c r="D16" s="1693"/>
      <c r="E16" s="1693"/>
      <c r="F16" s="1693"/>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ht="45.75" customHeight="1" x14ac:dyDescent="0.2">
      <c r="A17" s="289"/>
      <c r="B17" s="293"/>
      <c r="C17" s="1510" t="s">
        <v>1322</v>
      </c>
      <c r="D17" s="1511" t="s">
        <v>1327</v>
      </c>
      <c r="E17" s="1512" t="s">
        <v>1924</v>
      </c>
      <c r="F17" s="1703"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Поскольку МКД получает горячую воду от ЦТП, экономия на теплоэнергии на ГВС рассчитана косвенно по водоразбору</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x14ac:dyDescent="0.2">
      <c r="A18" s="289"/>
      <c r="B18" s="293" t="s">
        <v>1323</v>
      </c>
      <c r="C18" s="1400">
        <f>C19+C22</f>
        <v>1067488.9074913464</v>
      </c>
      <c r="D18" s="1400">
        <f>D19+D22</f>
        <v>861205.08058883832</v>
      </c>
      <c r="E18" s="1405"/>
      <c r="F18" s="1703"/>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2">
      <c r="A19" s="289"/>
      <c r="B19" s="1403" t="s">
        <v>1420</v>
      </c>
      <c r="C19" s="1400">
        <f>C20+C21</f>
        <v>1048612.7380913463</v>
      </c>
      <c r="D19" s="1400">
        <f>D20+D21</f>
        <v>841595.48879922065</v>
      </c>
      <c r="E19" s="1405">
        <f>IF(списки!C53=0,0,E20+E21)</f>
        <v>126.55800048425833</v>
      </c>
      <c r="F19" s="1703"/>
      <c r="G19" s="294"/>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2">
      <c r="A20" s="289"/>
      <c r="B20" s="1404" t="s">
        <v>1324</v>
      </c>
      <c r="C20" s="1400">
        <f>'Расчет базового уровня'!D13*'Экономический расчет'!$D$12</f>
        <v>782940.28725000005</v>
      </c>
      <c r="D20" s="1400">
        <f>IF(списки!C53=0,0,'Расчет после реализации'!D12/1163*'Экономический расчет'!$D$12)</f>
        <v>575923.03795787448</v>
      </c>
      <c r="E20" s="1405">
        <f>IF(списки!C53=0,0,'Расчет после реализации'!D13/1163)</f>
        <v>126.55800048425833</v>
      </c>
      <c r="F20" s="1703"/>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2">
      <c r="A21" s="289"/>
      <c r="B21" s="1404" t="s">
        <v>1325</v>
      </c>
      <c r="C21" s="1400">
        <f>'Расчет базового уровня'!D16*'Экономический расчет'!$D$12</f>
        <v>265672.45084134617</v>
      </c>
      <c r="D21" s="1400">
        <f>IF(списки!C53=0,0,'Расчет после реализации'!D15/1163*'Экономический расчет'!$D$12)</f>
        <v>265672.45084134617</v>
      </c>
      <c r="E21" s="1405">
        <f>IF(списки!C53=0,0,'Расчет после реализации'!D86/1163)</f>
        <v>0</v>
      </c>
      <c r="F21" s="1703"/>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2">
      <c r="A22" s="289"/>
      <c r="B22" s="1403" t="s">
        <v>1421</v>
      </c>
      <c r="C22" s="1400">
        <f>'Расчет базового уровня'!D18*'Экономический расчет'!$D$13</f>
        <v>18876.169399999999</v>
      </c>
      <c r="D22" s="1400">
        <f>IF(списки!C53=0,0,'Расчет после реализации'!D18*'Экономический расчет'!$D$13)</f>
        <v>19609.591789617643</v>
      </c>
      <c r="E22" s="1405">
        <f>IF(списки!C53=0,0,'Расчет после реализации'!C100-'Расчет после реализации'!D100)</f>
        <v>-303.06710314778684</v>
      </c>
      <c r="F22" s="1703"/>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ht="28.5" customHeight="1" x14ac:dyDescent="0.2">
      <c r="A23" s="289"/>
      <c r="B23" s="1697" t="s">
        <v>1448</v>
      </c>
      <c r="C23" s="1697"/>
      <c r="D23" s="1697"/>
      <c r="E23" s="1406">
        <f>IF(списки!C53=0,"",IF('Расчет после реализации'!D106&gt;'Расчет после реализации'!C106,'Расчет после реализации'!D106-'Расчет после реализации'!C106,0))</f>
        <v>303.06710314778684</v>
      </c>
      <c r="F23" s="1703"/>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x14ac:dyDescent="0.2">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2">
      <c r="A25" s="289"/>
      <c r="B25" s="289"/>
      <c r="C25" s="289"/>
      <c r="D25" s="294"/>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ht="15" customHeight="1" x14ac:dyDescent="0.2">
      <c r="A26" s="289"/>
      <c r="B26" s="1493" t="s">
        <v>1905</v>
      </c>
      <c r="C26" s="1400">
        <f>'Ввод исходных данных'!G44</f>
        <v>3472</v>
      </c>
      <c r="D26" s="1689"/>
      <c r="E26" s="1689"/>
      <c r="F26" s="16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2">
      <c r="A27" s="289"/>
      <c r="B27" s="1493" t="s">
        <v>1864</v>
      </c>
      <c r="C27" s="1400">
        <f>'Ввод исходных данных'!G45+'Ввод исходных данных'!D23</f>
        <v>2580</v>
      </c>
      <c r="D27" s="1689"/>
      <c r="E27" s="1689"/>
      <c r="F27" s="16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2">
      <c r="A28" s="289"/>
      <c r="B28" s="1493" t="s">
        <v>1406</v>
      </c>
      <c r="C28" s="1400">
        <f>'Список мероприятий'!F86</f>
        <v>1000000</v>
      </c>
      <c r="D28" s="1689"/>
      <c r="E28" s="1689"/>
      <c r="F28" s="16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2">
      <c r="A29" s="289"/>
      <c r="B29" s="1493" t="s">
        <v>1906</v>
      </c>
      <c r="C29" s="1400">
        <f>IFERROR(C28/C26,"")</f>
        <v>288.0184331797235</v>
      </c>
      <c r="D29" s="1689" t="s">
        <v>1595</v>
      </c>
      <c r="E29" s="1689"/>
      <c r="F29" s="16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2">
      <c r="A30" s="289"/>
      <c r="B30" s="1493" t="s">
        <v>1906</v>
      </c>
      <c r="C30" s="1400">
        <f>IFERROR(C28/C27,"")</f>
        <v>387.59689922480618</v>
      </c>
      <c r="D30" s="1689" t="s">
        <v>1636</v>
      </c>
      <c r="E30" s="1689"/>
      <c r="F30" s="16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2">
      <c r="A31" s="289"/>
      <c r="B31" s="1493" t="s">
        <v>1408</v>
      </c>
      <c r="C31" s="1400"/>
      <c r="D31" s="1689"/>
      <c r="E31" s="1689"/>
      <c r="F31" s="16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25.5" customHeight="1" x14ac:dyDescent="0.2">
      <c r="A32" s="289"/>
      <c r="B32" s="1494" t="s">
        <v>1416</v>
      </c>
      <c r="C32" s="1400">
        <f>IF(OR(D6=0,списки!C51=1),"",MIN(5000000,D6/2,IF(AND(C35&gt;=0.1,C35&lt;=0.3),(C35*10+1)*C34,IF(C35&gt;0.3,4*C34,0))))</f>
        <v>500000</v>
      </c>
      <c r="D32" s="1690" t="str">
        <f>E6</f>
        <v/>
      </c>
      <c r="E32" s="1690"/>
      <c r="F32" s="1690"/>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13.5" customHeight="1" x14ac:dyDescent="0.2">
      <c r="A33" s="289"/>
      <c r="B33" s="1494" t="s">
        <v>1417</v>
      </c>
      <c r="C33" s="1400">
        <f>IFERROR(MIN(5*10^6-C32,D6/2-C32,IF(списки!C51=1,0,ABS(D7+PMT(MIN(D9,0.0925)/12,MIN(D8,60),D7)*MIN(D8,60)))),0)</f>
        <v>0</v>
      </c>
      <c r="D33" s="1691" t="str">
        <f>IF(IFERROR(C33,0)&gt;0,"Внимание: ориентировочная сумма!","")</f>
        <v/>
      </c>
      <c r="E33" s="1691"/>
      <c r="F33" s="1691"/>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5" customHeight="1" x14ac:dyDescent="0.2">
      <c r="A34" s="289"/>
      <c r="B34" s="1493" t="s">
        <v>1610</v>
      </c>
      <c r="C34" s="1400">
        <f>IF(списки!C49=1,0,C35*(C18))</f>
        <v>206283.82690250801</v>
      </c>
      <c r="D34" s="1689"/>
      <c r="E34" s="1689"/>
      <c r="F34" s="16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2">
      <c r="A35" s="289"/>
      <c r="B35" s="1493" t="s">
        <v>1409</v>
      </c>
      <c r="C35" s="296">
        <f>IF(списки!C53=0,"",1-D18/C18)</f>
        <v>0.19324212687819453</v>
      </c>
      <c r="D35" s="1692"/>
      <c r="E35" s="1692"/>
      <c r="F35" s="1692"/>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2">
      <c r="A36" s="289"/>
      <c r="B36" s="1493" t="s">
        <v>1407</v>
      </c>
      <c r="C36" s="295">
        <f>IF(списки!C51=1,"",D5/C34)</f>
        <v>4.847689782644041</v>
      </c>
      <c r="D36" s="1689"/>
      <c r="E36" s="1689"/>
      <c r="F36" s="16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x14ac:dyDescent="0.2">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2">
      <c r="A40" s="289"/>
      <c r="B40" s="1270"/>
      <c r="C40" s="1270"/>
      <c r="D40" s="1270"/>
      <c r="E40" s="1270" t="s">
        <v>1754</v>
      </c>
      <c r="F40" s="1270"/>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2">
      <c r="A41" s="289"/>
      <c r="B41" s="1270">
        <v>1</v>
      </c>
      <c r="C41" s="1271">
        <f>'Список мероприятий'!W9</f>
        <v>0</v>
      </c>
      <c r="D41" s="1270" t="str">
        <f>IF(E41=0,"","Повыш-е теплозащ. наружных стен")</f>
        <v/>
      </c>
      <c r="E41" s="1272">
        <f t="shared" ref="E41:E63" si="0">F41/SUM($F$41:$F$63)</f>
        <v>0</v>
      </c>
      <c r="F41" s="1270">
        <f t="shared" ref="F41:F63" si="1">$C41*$C$19</f>
        <v>0</v>
      </c>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2">
      <c r="A42" s="289"/>
      <c r="B42" s="1270">
        <v>2</v>
      </c>
      <c r="C42" s="1271">
        <f>'Список мероприятий'!W12</f>
        <v>0</v>
      </c>
      <c r="D42" s="1270" t="str">
        <f>IF(E42=0,"","Заделка и герметизация межпанельных соединений")</f>
        <v/>
      </c>
      <c r="E42" s="1272">
        <f t="shared" si="0"/>
        <v>0</v>
      </c>
      <c r="F42" s="1270">
        <f t="shared" si="1"/>
        <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2">
      <c r="A43" s="289"/>
      <c r="B43" s="1270">
        <v>3</v>
      </c>
      <c r="C43" s="1271">
        <f>'Список мероприятий'!W14</f>
        <v>0</v>
      </c>
      <c r="D43" s="1270" t="str">
        <f>IF(E43=0,"","Замена окон МОП")</f>
        <v/>
      </c>
      <c r="E43" s="1272">
        <f t="shared" si="0"/>
        <v>0</v>
      </c>
      <c r="F43" s="1270">
        <f t="shared" si="1"/>
        <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2">
      <c r="A44" s="289"/>
      <c r="B44" s="1270">
        <v>4</v>
      </c>
      <c r="C44" s="1271">
        <f>'Список мероприятий'!W20</f>
        <v>0</v>
      </c>
      <c r="D44" s="1270" t="str">
        <f>IF(E44=0,"","Повыш-е теплозащ. совмещенной кровли")</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2">
      <c r="A45" s="289"/>
      <c r="B45" s="1270">
        <v>5</v>
      </c>
      <c r="C45" s="1271">
        <f>'Список мероприятий'!W24</f>
        <v>0</v>
      </c>
      <c r="D45" s="1270" t="str">
        <f>IF(E45=0,"","Устройство теплого чердака")</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2">
      <c r="A46" s="289"/>
      <c r="B46" s="1270">
        <v>6</v>
      </c>
      <c r="C46" s="1271">
        <f>'Список мероприятий'!W27</f>
        <v>0</v>
      </c>
      <c r="D46" s="1270" t="str">
        <f>IF(E46=0,"","Повыш-е теплозащ. чердачных перекрытий")</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2">
      <c r="A47" s="289"/>
      <c r="B47" s="1270">
        <v>7</v>
      </c>
      <c r="C47" s="1271">
        <f>'Список мероприятий'!W32</f>
        <v>0.16840940085701608</v>
      </c>
      <c r="D47" s="1270" t="str">
        <f>IF(E47=0,"","Установка узлов управления")</f>
        <v>Установка узлов управления</v>
      </c>
      <c r="E47" s="1272">
        <f t="shared" si="0"/>
        <v>0.87926351350942233</v>
      </c>
      <c r="F47" s="1517">
        <f t="shared" si="1"/>
        <v>176596.24295299876</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2">
      <c r="A48" s="289"/>
      <c r="B48" s="1270">
        <v>8</v>
      </c>
      <c r="C48" s="1271">
        <f>'Список мероприятий'!W34</f>
        <v>0</v>
      </c>
      <c r="D48" s="1270" t="str">
        <f>IF(E48=0,"","Модернизация ИТП")</f>
        <v/>
      </c>
      <c r="E48" s="1272">
        <f t="shared" si="0"/>
        <v>0</v>
      </c>
      <c r="F48" s="1517">
        <f t="shared" si="1"/>
        <v>0</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2">
      <c r="A49" s="289"/>
      <c r="B49" s="1270">
        <v>9</v>
      </c>
      <c r="C49" s="1271">
        <f>'Список мероприятий'!W35</f>
        <v>0</v>
      </c>
      <c r="D49" s="1270" t="str">
        <f>IF(E49=0,"","Установка регуляторов температуры ГВС")</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2">
      <c r="A50" s="289"/>
      <c r="B50" s="1270">
        <v>10</v>
      </c>
      <c r="C50" s="1271">
        <f>'Список мероприятий'!W37</f>
        <v>2.3125216774096825E-2</v>
      </c>
      <c r="D50" s="1270" t="str">
        <f>IF(E50=0,"","Ремонт трубопровода СО")</f>
        <v>Ремонт трубопровода СО</v>
      </c>
      <c r="E50" s="1272">
        <f t="shared" si="0"/>
        <v>0.12073648649057768</v>
      </c>
      <c r="F50" s="1517">
        <f t="shared" si="1"/>
        <v>24249.396880441604</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2">
      <c r="A51" s="289"/>
      <c r="B51" s="1270">
        <v>11</v>
      </c>
      <c r="C51" s="1271">
        <f>'Список мероприятий'!W38</f>
        <v>0</v>
      </c>
      <c r="D51" s="1270" t="str">
        <f>IF(E51=0,"","Ремонт трубопровода ГВС")</f>
        <v/>
      </c>
      <c r="E51" s="1272">
        <f t="shared" si="0"/>
        <v>0</v>
      </c>
      <c r="F51" s="1270">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2">
      <c r="A52" s="289"/>
      <c r="B52" s="1270">
        <v>12</v>
      </c>
      <c r="C52" s="1271">
        <f>'Список мероприятий'!W39</f>
        <v>0</v>
      </c>
      <c r="D52" s="1270" t="str">
        <f>IF(E52=0,"","Устройство циркуляции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2">
      <c r="A53" s="289"/>
      <c r="B53" s="1270">
        <v>13</v>
      </c>
      <c r="C53" s="1271">
        <f>'Список мероприятий'!Y42</f>
        <v>0</v>
      </c>
      <c r="D53" s="1270" t="str">
        <f>IF(E53=0,"","Установка ЧРП на насосное оборудование")</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2">
      <c r="A54" s="289"/>
      <c r="B54" s="1270">
        <v>14</v>
      </c>
      <c r="C54" s="1271">
        <f>'Список мероприятий'!Y47</f>
        <v>0</v>
      </c>
      <c r="D54" s="1270" t="str">
        <f>IF(E54=0,"","Замена насосного оборудования")</f>
        <v/>
      </c>
      <c r="E54" s="1272">
        <f t="shared" si="0"/>
        <v>0</v>
      </c>
      <c r="F54" s="1270">
        <f t="shared" si="1"/>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2">
      <c r="A55" s="289"/>
      <c r="B55" s="1270">
        <v>15</v>
      </c>
      <c r="C55" s="1271">
        <f>'Список мероприятий'!Y52</f>
        <v>0</v>
      </c>
      <c r="D55" s="1270" t="str">
        <f>IF(E55=0,"","Установка УКРМ на насосное оборудование")</f>
        <v/>
      </c>
      <c r="E55" s="1272">
        <f t="shared" si="0"/>
        <v>0</v>
      </c>
      <c r="F55" s="1270">
        <f t="shared" si="1"/>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2">
      <c r="A56" s="289"/>
      <c r="B56" s="1270">
        <v>16</v>
      </c>
      <c r="C56" s="1271">
        <f>'Список мероприятий'!Y55</f>
        <v>0</v>
      </c>
      <c r="D56" s="1270" t="str">
        <f>IF(E56=0,"","Ремонт лифта")</f>
        <v/>
      </c>
      <c r="E56" s="1272">
        <f t="shared" si="0"/>
        <v>0</v>
      </c>
      <c r="F56" s="1270">
        <f t="shared" si="1"/>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2">
      <c r="A57" s="289"/>
      <c r="B57" s="1270">
        <v>17</v>
      </c>
      <c r="C57" s="1271">
        <f>'Список мероприятий'!Y56</f>
        <v>0</v>
      </c>
      <c r="D57" s="1270" t="str">
        <f>IF(E57=0,"","Замена лифта")</f>
        <v/>
      </c>
      <c r="E57" s="1272">
        <f t="shared" si="0"/>
        <v>0</v>
      </c>
      <c r="F57" s="1270">
        <f t="shared" si="1"/>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2">
      <c r="A58" s="289"/>
      <c r="B58" s="1270">
        <v>18</v>
      </c>
      <c r="C58" s="1271">
        <f>'Список мероприятий'!Y58</f>
        <v>0</v>
      </c>
      <c r="D58" s="1270" t="str">
        <f>IF(E58=0,"","Установка УКРМ на лифт")</f>
        <v/>
      </c>
      <c r="E58" s="1272">
        <f t="shared" si="0"/>
        <v>0</v>
      </c>
      <c r="F58" s="1270">
        <f t="shared" si="1"/>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2">
      <c r="A59" s="289"/>
      <c r="B59" s="1270">
        <v>19</v>
      </c>
      <c r="C59" s="1271">
        <f>'Список мероприятий'!W62</f>
        <v>0</v>
      </c>
      <c r="D59" s="1270" t="str">
        <f>IF(E59=0,"","Повыш-е теплозащ. пола по грунту")</f>
        <v/>
      </c>
      <c r="E59" s="1272">
        <f t="shared" si="0"/>
        <v>0</v>
      </c>
      <c r="F59" s="1270">
        <f t="shared" si="1"/>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2">
      <c r="A60" s="289"/>
      <c r="B60" s="1270">
        <v>20</v>
      </c>
      <c r="C60" s="1271">
        <f>'Список мероприятий'!W67</f>
        <v>0</v>
      </c>
      <c r="D60" s="1270" t="str">
        <f>IF(E60=0,"","Повыш-е теплозащ. перекрытий над подвалом")</f>
        <v/>
      </c>
      <c r="E60" s="1272">
        <f t="shared" si="0"/>
        <v>0</v>
      </c>
      <c r="F60" s="1270">
        <f t="shared" si="1"/>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2">
      <c r="A61" s="289"/>
      <c r="B61" s="1270">
        <v>21</v>
      </c>
      <c r="C61" s="1271">
        <f>'Список мероприятий'!W73</f>
        <v>0</v>
      </c>
      <c r="D61" s="1270" t="str">
        <f>IF(E61=0,"","Утепление наружных дверей")</f>
        <v/>
      </c>
      <c r="E61" s="1272">
        <f t="shared" si="0"/>
        <v>0</v>
      </c>
      <c r="F61" s="1270">
        <f t="shared" si="1"/>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2">
      <c r="A62" s="289"/>
      <c r="B62" s="1270">
        <v>22</v>
      </c>
      <c r="C62" s="1271">
        <f>'Список мероприятий'!Y74</f>
        <v>0</v>
      </c>
      <c r="D62" s="1270" t="str">
        <f>IF(E62=0,"","Замена осветительных приборов")</f>
        <v/>
      </c>
      <c r="E62" s="1272">
        <f t="shared" si="0"/>
        <v>0</v>
      </c>
      <c r="F62" s="1270">
        <f t="shared" si="1"/>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2">
      <c r="A63" s="289"/>
      <c r="B63" s="1270">
        <v>23</v>
      </c>
      <c r="C63" s="1271">
        <f>'Список мероприятий'!Y76</f>
        <v>0</v>
      </c>
      <c r="D63" s="1270" t="str">
        <f>IF(E63=0,"","Установка датчиков движения")</f>
        <v/>
      </c>
      <c r="E63" s="1272">
        <f t="shared" si="0"/>
        <v>0</v>
      </c>
      <c r="F63" s="1270">
        <f t="shared" si="1"/>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2">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2">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2">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2">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2">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2">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2">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2">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2">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2">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2">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2">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2">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2">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2">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2">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2">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2">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2">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2">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2">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2">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2">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2">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2">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2">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2">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2">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2">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2">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2">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2">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2">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2">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2">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2">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2">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2">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2">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2">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2">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2">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2">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2">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2">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2">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2">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2">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2">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2">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2">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2">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2">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2">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2">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2">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2">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2">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2">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2">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2">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2">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2">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2">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2">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2">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2">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2">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2">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2">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2">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2">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2">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2">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2">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2">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2">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2">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2">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2">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2">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2">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2">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2">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2">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2">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2">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2">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2">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2">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2">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2">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2">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2">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2">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2">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2">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2">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2">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2">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2">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2">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2">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2">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2">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2">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sheetData>
  <sheetProtection password="ECB1"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2.75" x14ac:dyDescent="0.2"/>
  <cols>
    <col min="1" max="1" width="2.5703125" style="62" customWidth="1"/>
    <col min="2" max="3" width="4.28515625" style="63" customWidth="1"/>
    <col min="4" max="4" width="39" style="64" customWidth="1"/>
    <col min="5" max="5" width="65" style="65" customWidth="1"/>
    <col min="6" max="6" width="9.140625" style="64"/>
    <col min="7" max="7" width="32.85546875" style="66" hidden="1" customWidth="1"/>
    <col min="8" max="8" width="33.5703125" style="66" hidden="1" customWidth="1"/>
    <col min="9" max="9" width="28.140625" style="66" hidden="1" customWidth="1"/>
    <col min="10" max="256" width="9.140625" style="45"/>
    <col min="257" max="257" width="2.5703125" style="45" customWidth="1"/>
    <col min="258" max="259" width="4.28515625" style="45" customWidth="1"/>
    <col min="260" max="260" width="39" style="45" customWidth="1"/>
    <col min="261" max="261" width="55.7109375" style="45" customWidth="1"/>
    <col min="262" max="262" width="9.140625" style="45"/>
    <col min="263" max="263" width="9.140625" style="45" customWidth="1"/>
    <col min="264" max="512" width="9.140625" style="45"/>
    <col min="513" max="513" width="2.5703125" style="45" customWidth="1"/>
    <col min="514" max="515" width="4.28515625" style="45" customWidth="1"/>
    <col min="516" max="516" width="39" style="45" customWidth="1"/>
    <col min="517" max="517" width="55.7109375" style="45" customWidth="1"/>
    <col min="518" max="518" width="9.140625" style="45"/>
    <col min="519" max="519" width="9.140625" style="45" customWidth="1"/>
    <col min="520" max="768" width="9.140625" style="45"/>
    <col min="769" max="769" width="2.5703125" style="45" customWidth="1"/>
    <col min="770" max="771" width="4.28515625" style="45" customWidth="1"/>
    <col min="772" max="772" width="39" style="45" customWidth="1"/>
    <col min="773" max="773" width="55.7109375" style="45" customWidth="1"/>
    <col min="774" max="774" width="9.140625" style="45"/>
    <col min="775" max="775" width="9.140625" style="45" customWidth="1"/>
    <col min="776" max="1024" width="9.140625" style="45"/>
    <col min="1025" max="1025" width="2.5703125" style="45" customWidth="1"/>
    <col min="1026" max="1027" width="4.28515625" style="45" customWidth="1"/>
    <col min="1028" max="1028" width="39" style="45" customWidth="1"/>
    <col min="1029" max="1029" width="55.7109375" style="45" customWidth="1"/>
    <col min="1030" max="1030" width="9.140625" style="45"/>
    <col min="1031" max="1031" width="9.140625" style="45" customWidth="1"/>
    <col min="1032" max="1280" width="9.140625" style="45"/>
    <col min="1281" max="1281" width="2.5703125" style="45" customWidth="1"/>
    <col min="1282" max="1283" width="4.28515625" style="45" customWidth="1"/>
    <col min="1284" max="1284" width="39" style="45" customWidth="1"/>
    <col min="1285" max="1285" width="55.7109375" style="45" customWidth="1"/>
    <col min="1286" max="1286" width="9.140625" style="45"/>
    <col min="1287" max="1287" width="9.140625" style="45" customWidth="1"/>
    <col min="1288" max="1536" width="9.140625" style="45"/>
    <col min="1537" max="1537" width="2.5703125" style="45" customWidth="1"/>
    <col min="1538" max="1539" width="4.28515625" style="45" customWidth="1"/>
    <col min="1540" max="1540" width="39" style="45" customWidth="1"/>
    <col min="1541" max="1541" width="55.7109375" style="45" customWidth="1"/>
    <col min="1542" max="1542" width="9.140625" style="45"/>
    <col min="1543" max="1543" width="9.140625" style="45" customWidth="1"/>
    <col min="1544" max="1792" width="9.140625" style="45"/>
    <col min="1793" max="1793" width="2.5703125" style="45" customWidth="1"/>
    <col min="1794" max="1795" width="4.28515625" style="45" customWidth="1"/>
    <col min="1796" max="1796" width="39" style="45" customWidth="1"/>
    <col min="1797" max="1797" width="55.7109375" style="45" customWidth="1"/>
    <col min="1798" max="1798" width="9.140625" style="45"/>
    <col min="1799" max="1799" width="9.140625" style="45" customWidth="1"/>
    <col min="1800" max="2048" width="9.140625" style="45"/>
    <col min="2049" max="2049" width="2.5703125" style="45" customWidth="1"/>
    <col min="2050" max="2051" width="4.28515625" style="45" customWidth="1"/>
    <col min="2052" max="2052" width="39" style="45" customWidth="1"/>
    <col min="2053" max="2053" width="55.7109375" style="45" customWidth="1"/>
    <col min="2054" max="2054" width="9.140625" style="45"/>
    <col min="2055" max="2055" width="9.140625" style="45" customWidth="1"/>
    <col min="2056" max="2304" width="9.140625" style="45"/>
    <col min="2305" max="2305" width="2.5703125" style="45" customWidth="1"/>
    <col min="2306" max="2307" width="4.28515625" style="45" customWidth="1"/>
    <col min="2308" max="2308" width="39" style="45" customWidth="1"/>
    <col min="2309" max="2309" width="55.7109375" style="45" customWidth="1"/>
    <col min="2310" max="2310" width="9.140625" style="45"/>
    <col min="2311" max="2311" width="9.140625" style="45" customWidth="1"/>
    <col min="2312" max="2560" width="9.140625" style="45"/>
    <col min="2561" max="2561" width="2.5703125" style="45" customWidth="1"/>
    <col min="2562" max="2563" width="4.28515625" style="45" customWidth="1"/>
    <col min="2564" max="2564" width="39" style="45" customWidth="1"/>
    <col min="2565" max="2565" width="55.7109375" style="45" customWidth="1"/>
    <col min="2566" max="2566" width="9.140625" style="45"/>
    <col min="2567" max="2567" width="9.140625" style="45" customWidth="1"/>
    <col min="2568" max="2816" width="9.140625" style="45"/>
    <col min="2817" max="2817" width="2.5703125" style="45" customWidth="1"/>
    <col min="2818" max="2819" width="4.28515625" style="45" customWidth="1"/>
    <col min="2820" max="2820" width="39" style="45" customWidth="1"/>
    <col min="2821" max="2821" width="55.7109375" style="45" customWidth="1"/>
    <col min="2822" max="2822" width="9.140625" style="45"/>
    <col min="2823" max="2823" width="9.140625" style="45" customWidth="1"/>
    <col min="2824" max="3072" width="9.140625" style="45"/>
    <col min="3073" max="3073" width="2.5703125" style="45" customWidth="1"/>
    <col min="3074" max="3075" width="4.28515625" style="45" customWidth="1"/>
    <col min="3076" max="3076" width="39" style="45" customWidth="1"/>
    <col min="3077" max="3077" width="55.7109375" style="45" customWidth="1"/>
    <col min="3078" max="3078" width="9.140625" style="45"/>
    <col min="3079" max="3079" width="9.140625" style="45" customWidth="1"/>
    <col min="3080" max="3328" width="9.140625" style="45"/>
    <col min="3329" max="3329" width="2.5703125" style="45" customWidth="1"/>
    <col min="3330" max="3331" width="4.28515625" style="45" customWidth="1"/>
    <col min="3332" max="3332" width="39" style="45" customWidth="1"/>
    <col min="3333" max="3333" width="55.7109375" style="45" customWidth="1"/>
    <col min="3334" max="3334" width="9.140625" style="45"/>
    <col min="3335" max="3335" width="9.140625" style="45" customWidth="1"/>
    <col min="3336" max="3584" width="9.140625" style="45"/>
    <col min="3585" max="3585" width="2.5703125" style="45" customWidth="1"/>
    <col min="3586" max="3587" width="4.28515625" style="45" customWidth="1"/>
    <col min="3588" max="3588" width="39" style="45" customWidth="1"/>
    <col min="3589" max="3589" width="55.7109375" style="45" customWidth="1"/>
    <col min="3590" max="3590" width="9.140625" style="45"/>
    <col min="3591" max="3591" width="9.140625" style="45" customWidth="1"/>
    <col min="3592" max="3840" width="9.140625" style="45"/>
    <col min="3841" max="3841" width="2.5703125" style="45" customWidth="1"/>
    <col min="3842" max="3843" width="4.28515625" style="45" customWidth="1"/>
    <col min="3844" max="3844" width="39" style="45" customWidth="1"/>
    <col min="3845" max="3845" width="55.7109375" style="45" customWidth="1"/>
    <col min="3846" max="3846" width="9.140625" style="45"/>
    <col min="3847" max="3847" width="9.140625" style="45" customWidth="1"/>
    <col min="3848" max="4096" width="9.140625" style="45"/>
    <col min="4097" max="4097" width="2.5703125" style="45" customWidth="1"/>
    <col min="4098" max="4099" width="4.28515625" style="45" customWidth="1"/>
    <col min="4100" max="4100" width="39" style="45" customWidth="1"/>
    <col min="4101" max="4101" width="55.7109375" style="45" customWidth="1"/>
    <col min="4102" max="4102" width="9.140625" style="45"/>
    <col min="4103" max="4103" width="9.140625" style="45" customWidth="1"/>
    <col min="4104" max="4352" width="9.140625" style="45"/>
    <col min="4353" max="4353" width="2.5703125" style="45" customWidth="1"/>
    <col min="4354" max="4355" width="4.28515625" style="45" customWidth="1"/>
    <col min="4356" max="4356" width="39" style="45" customWidth="1"/>
    <col min="4357" max="4357" width="55.7109375" style="45" customWidth="1"/>
    <col min="4358" max="4358" width="9.140625" style="45"/>
    <col min="4359" max="4359" width="9.140625" style="45" customWidth="1"/>
    <col min="4360" max="4608" width="9.140625" style="45"/>
    <col min="4609" max="4609" width="2.5703125" style="45" customWidth="1"/>
    <col min="4610" max="4611" width="4.28515625" style="45" customWidth="1"/>
    <col min="4612" max="4612" width="39" style="45" customWidth="1"/>
    <col min="4613" max="4613" width="55.7109375" style="45" customWidth="1"/>
    <col min="4614" max="4614" width="9.140625" style="45"/>
    <col min="4615" max="4615" width="9.140625" style="45" customWidth="1"/>
    <col min="4616" max="4864" width="9.140625" style="45"/>
    <col min="4865" max="4865" width="2.5703125" style="45" customWidth="1"/>
    <col min="4866" max="4867" width="4.28515625" style="45" customWidth="1"/>
    <col min="4868" max="4868" width="39" style="45" customWidth="1"/>
    <col min="4869" max="4869" width="55.7109375" style="45" customWidth="1"/>
    <col min="4870" max="4870" width="9.140625" style="45"/>
    <col min="4871" max="4871" width="9.140625" style="45" customWidth="1"/>
    <col min="4872" max="5120" width="9.140625" style="45"/>
    <col min="5121" max="5121" width="2.5703125" style="45" customWidth="1"/>
    <col min="5122" max="5123" width="4.28515625" style="45" customWidth="1"/>
    <col min="5124" max="5124" width="39" style="45" customWidth="1"/>
    <col min="5125" max="5125" width="55.7109375" style="45" customWidth="1"/>
    <col min="5126" max="5126" width="9.140625" style="45"/>
    <col min="5127" max="5127" width="9.140625" style="45" customWidth="1"/>
    <col min="5128" max="5376" width="9.140625" style="45"/>
    <col min="5377" max="5377" width="2.5703125" style="45" customWidth="1"/>
    <col min="5378" max="5379" width="4.28515625" style="45" customWidth="1"/>
    <col min="5380" max="5380" width="39" style="45" customWidth="1"/>
    <col min="5381" max="5381" width="55.7109375" style="45" customWidth="1"/>
    <col min="5382" max="5382" width="9.140625" style="45"/>
    <col min="5383" max="5383" width="9.140625" style="45" customWidth="1"/>
    <col min="5384" max="5632" width="9.140625" style="45"/>
    <col min="5633" max="5633" width="2.5703125" style="45" customWidth="1"/>
    <col min="5634" max="5635" width="4.28515625" style="45" customWidth="1"/>
    <col min="5636" max="5636" width="39" style="45" customWidth="1"/>
    <col min="5637" max="5637" width="55.7109375" style="45" customWidth="1"/>
    <col min="5638" max="5638" width="9.140625" style="45"/>
    <col min="5639" max="5639" width="9.140625" style="45" customWidth="1"/>
    <col min="5640" max="5888" width="9.140625" style="45"/>
    <col min="5889" max="5889" width="2.5703125" style="45" customWidth="1"/>
    <col min="5890" max="5891" width="4.28515625" style="45" customWidth="1"/>
    <col min="5892" max="5892" width="39" style="45" customWidth="1"/>
    <col min="5893" max="5893" width="55.7109375" style="45" customWidth="1"/>
    <col min="5894" max="5894" width="9.140625" style="45"/>
    <col min="5895" max="5895" width="9.140625" style="45" customWidth="1"/>
    <col min="5896" max="6144" width="9.140625" style="45"/>
    <col min="6145" max="6145" width="2.5703125" style="45" customWidth="1"/>
    <col min="6146" max="6147" width="4.28515625" style="45" customWidth="1"/>
    <col min="6148" max="6148" width="39" style="45" customWidth="1"/>
    <col min="6149" max="6149" width="55.7109375" style="45" customWidth="1"/>
    <col min="6150" max="6150" width="9.140625" style="45"/>
    <col min="6151" max="6151" width="9.140625" style="45" customWidth="1"/>
    <col min="6152" max="6400" width="9.140625" style="45"/>
    <col min="6401" max="6401" width="2.5703125" style="45" customWidth="1"/>
    <col min="6402" max="6403" width="4.28515625" style="45" customWidth="1"/>
    <col min="6404" max="6404" width="39" style="45" customWidth="1"/>
    <col min="6405" max="6405" width="55.7109375" style="45" customWidth="1"/>
    <col min="6406" max="6406" width="9.140625" style="45"/>
    <col min="6407" max="6407" width="9.140625" style="45" customWidth="1"/>
    <col min="6408" max="6656" width="9.140625" style="45"/>
    <col min="6657" max="6657" width="2.5703125" style="45" customWidth="1"/>
    <col min="6658" max="6659" width="4.28515625" style="45" customWidth="1"/>
    <col min="6660" max="6660" width="39" style="45" customWidth="1"/>
    <col min="6661" max="6661" width="55.7109375" style="45" customWidth="1"/>
    <col min="6662" max="6662" width="9.140625" style="45"/>
    <col min="6663" max="6663" width="9.140625" style="45" customWidth="1"/>
    <col min="6664" max="6912" width="9.140625" style="45"/>
    <col min="6913" max="6913" width="2.5703125" style="45" customWidth="1"/>
    <col min="6914" max="6915" width="4.28515625" style="45" customWidth="1"/>
    <col min="6916" max="6916" width="39" style="45" customWidth="1"/>
    <col min="6917" max="6917" width="55.7109375" style="45" customWidth="1"/>
    <col min="6918" max="6918" width="9.140625" style="45"/>
    <col min="6919" max="6919" width="9.140625" style="45" customWidth="1"/>
    <col min="6920" max="7168" width="9.140625" style="45"/>
    <col min="7169" max="7169" width="2.5703125" style="45" customWidth="1"/>
    <col min="7170" max="7171" width="4.28515625" style="45" customWidth="1"/>
    <col min="7172" max="7172" width="39" style="45" customWidth="1"/>
    <col min="7173" max="7173" width="55.7109375" style="45" customWidth="1"/>
    <col min="7174" max="7174" width="9.140625" style="45"/>
    <col min="7175" max="7175" width="9.140625" style="45" customWidth="1"/>
    <col min="7176" max="7424" width="9.140625" style="45"/>
    <col min="7425" max="7425" width="2.5703125" style="45" customWidth="1"/>
    <col min="7426" max="7427" width="4.28515625" style="45" customWidth="1"/>
    <col min="7428" max="7428" width="39" style="45" customWidth="1"/>
    <col min="7429" max="7429" width="55.7109375" style="45" customWidth="1"/>
    <col min="7430" max="7430" width="9.140625" style="45"/>
    <col min="7431" max="7431" width="9.140625" style="45" customWidth="1"/>
    <col min="7432" max="7680" width="9.140625" style="45"/>
    <col min="7681" max="7681" width="2.5703125" style="45" customWidth="1"/>
    <col min="7682" max="7683" width="4.28515625" style="45" customWidth="1"/>
    <col min="7684" max="7684" width="39" style="45" customWidth="1"/>
    <col min="7685" max="7685" width="55.7109375" style="45" customWidth="1"/>
    <col min="7686" max="7686" width="9.140625" style="45"/>
    <col min="7687" max="7687" width="9.140625" style="45" customWidth="1"/>
    <col min="7688" max="7936" width="9.140625" style="45"/>
    <col min="7937" max="7937" width="2.5703125" style="45" customWidth="1"/>
    <col min="7938" max="7939" width="4.28515625" style="45" customWidth="1"/>
    <col min="7940" max="7940" width="39" style="45" customWidth="1"/>
    <col min="7941" max="7941" width="55.7109375" style="45" customWidth="1"/>
    <col min="7942" max="7942" width="9.140625" style="45"/>
    <col min="7943" max="7943" width="9.140625" style="45" customWidth="1"/>
    <col min="7944" max="8192" width="9.140625" style="45"/>
    <col min="8193" max="8193" width="2.5703125" style="45" customWidth="1"/>
    <col min="8194" max="8195" width="4.28515625" style="45" customWidth="1"/>
    <col min="8196" max="8196" width="39" style="45" customWidth="1"/>
    <col min="8197" max="8197" width="55.7109375" style="45" customWidth="1"/>
    <col min="8198" max="8198" width="9.140625" style="45"/>
    <col min="8199" max="8199" width="9.140625" style="45" customWidth="1"/>
    <col min="8200" max="8448" width="9.140625" style="45"/>
    <col min="8449" max="8449" width="2.5703125" style="45" customWidth="1"/>
    <col min="8450" max="8451" width="4.28515625" style="45" customWidth="1"/>
    <col min="8452" max="8452" width="39" style="45" customWidth="1"/>
    <col min="8453" max="8453" width="55.7109375" style="45" customWidth="1"/>
    <col min="8454" max="8454" width="9.140625" style="45"/>
    <col min="8455" max="8455" width="9.140625" style="45" customWidth="1"/>
    <col min="8456" max="8704" width="9.140625" style="45"/>
    <col min="8705" max="8705" width="2.5703125" style="45" customWidth="1"/>
    <col min="8706" max="8707" width="4.28515625" style="45" customWidth="1"/>
    <col min="8708" max="8708" width="39" style="45" customWidth="1"/>
    <col min="8709" max="8709" width="55.7109375" style="45" customWidth="1"/>
    <col min="8710" max="8710" width="9.140625" style="45"/>
    <col min="8711" max="8711" width="9.140625" style="45" customWidth="1"/>
    <col min="8712" max="8960" width="9.140625" style="45"/>
    <col min="8961" max="8961" width="2.5703125" style="45" customWidth="1"/>
    <col min="8962" max="8963" width="4.28515625" style="45" customWidth="1"/>
    <col min="8964" max="8964" width="39" style="45" customWidth="1"/>
    <col min="8965" max="8965" width="55.7109375" style="45" customWidth="1"/>
    <col min="8966" max="8966" width="9.140625" style="45"/>
    <col min="8967" max="8967" width="9.140625" style="45" customWidth="1"/>
    <col min="8968" max="9216" width="9.140625" style="45"/>
    <col min="9217" max="9217" width="2.5703125" style="45" customWidth="1"/>
    <col min="9218" max="9219" width="4.28515625" style="45" customWidth="1"/>
    <col min="9220" max="9220" width="39" style="45" customWidth="1"/>
    <col min="9221" max="9221" width="55.7109375" style="45" customWidth="1"/>
    <col min="9222" max="9222" width="9.140625" style="45"/>
    <col min="9223" max="9223" width="9.140625" style="45" customWidth="1"/>
    <col min="9224" max="9472" width="9.140625" style="45"/>
    <col min="9473" max="9473" width="2.5703125" style="45" customWidth="1"/>
    <col min="9474" max="9475" width="4.28515625" style="45" customWidth="1"/>
    <col min="9476" max="9476" width="39" style="45" customWidth="1"/>
    <col min="9477" max="9477" width="55.7109375" style="45" customWidth="1"/>
    <col min="9478" max="9478" width="9.140625" style="45"/>
    <col min="9479" max="9479" width="9.140625" style="45" customWidth="1"/>
    <col min="9480" max="9728" width="9.140625" style="45"/>
    <col min="9729" max="9729" width="2.5703125" style="45" customWidth="1"/>
    <col min="9730" max="9731" width="4.28515625" style="45" customWidth="1"/>
    <col min="9732" max="9732" width="39" style="45" customWidth="1"/>
    <col min="9733" max="9733" width="55.7109375" style="45" customWidth="1"/>
    <col min="9734" max="9734" width="9.140625" style="45"/>
    <col min="9735" max="9735" width="9.140625" style="45" customWidth="1"/>
    <col min="9736" max="9984" width="9.140625" style="45"/>
    <col min="9985" max="9985" width="2.5703125" style="45" customWidth="1"/>
    <col min="9986" max="9987" width="4.28515625" style="45" customWidth="1"/>
    <col min="9988" max="9988" width="39" style="45" customWidth="1"/>
    <col min="9989" max="9989" width="55.7109375" style="45" customWidth="1"/>
    <col min="9990" max="9990" width="9.140625" style="45"/>
    <col min="9991" max="9991" width="9.140625" style="45" customWidth="1"/>
    <col min="9992" max="10240" width="9.140625" style="45"/>
    <col min="10241" max="10241" width="2.5703125" style="45" customWidth="1"/>
    <col min="10242" max="10243" width="4.28515625" style="45" customWidth="1"/>
    <col min="10244" max="10244" width="39" style="45" customWidth="1"/>
    <col min="10245" max="10245" width="55.7109375" style="45" customWidth="1"/>
    <col min="10246" max="10246" width="9.140625" style="45"/>
    <col min="10247" max="10247" width="9.140625" style="45" customWidth="1"/>
    <col min="10248" max="10496" width="9.140625" style="45"/>
    <col min="10497" max="10497" width="2.5703125" style="45" customWidth="1"/>
    <col min="10498" max="10499" width="4.28515625" style="45" customWidth="1"/>
    <col min="10500" max="10500" width="39" style="45" customWidth="1"/>
    <col min="10501" max="10501" width="55.7109375" style="45" customWidth="1"/>
    <col min="10502" max="10502" width="9.140625" style="45"/>
    <col min="10503" max="10503" width="9.140625" style="45" customWidth="1"/>
    <col min="10504" max="10752" width="9.140625" style="45"/>
    <col min="10753" max="10753" width="2.5703125" style="45" customWidth="1"/>
    <col min="10754" max="10755" width="4.28515625" style="45" customWidth="1"/>
    <col min="10756" max="10756" width="39" style="45" customWidth="1"/>
    <col min="10757" max="10757" width="55.7109375" style="45" customWidth="1"/>
    <col min="10758" max="10758" width="9.140625" style="45"/>
    <col min="10759" max="10759" width="9.140625" style="45" customWidth="1"/>
    <col min="10760" max="11008" width="9.140625" style="45"/>
    <col min="11009" max="11009" width="2.5703125" style="45" customWidth="1"/>
    <col min="11010" max="11011" width="4.28515625" style="45" customWidth="1"/>
    <col min="11012" max="11012" width="39" style="45" customWidth="1"/>
    <col min="11013" max="11013" width="55.7109375" style="45" customWidth="1"/>
    <col min="11014" max="11014" width="9.140625" style="45"/>
    <col min="11015" max="11015" width="9.140625" style="45" customWidth="1"/>
    <col min="11016" max="11264" width="9.140625" style="45"/>
    <col min="11265" max="11265" width="2.5703125" style="45" customWidth="1"/>
    <col min="11266" max="11267" width="4.28515625" style="45" customWidth="1"/>
    <col min="11268" max="11268" width="39" style="45" customWidth="1"/>
    <col min="11269" max="11269" width="55.7109375" style="45" customWidth="1"/>
    <col min="11270" max="11270" width="9.140625" style="45"/>
    <col min="11271" max="11271" width="9.140625" style="45" customWidth="1"/>
    <col min="11272" max="11520" width="9.140625" style="45"/>
    <col min="11521" max="11521" width="2.5703125" style="45" customWidth="1"/>
    <col min="11522" max="11523" width="4.28515625" style="45" customWidth="1"/>
    <col min="11524" max="11524" width="39" style="45" customWidth="1"/>
    <col min="11525" max="11525" width="55.7109375" style="45" customWidth="1"/>
    <col min="11526" max="11526" width="9.140625" style="45"/>
    <col min="11527" max="11527" width="9.140625" style="45" customWidth="1"/>
    <col min="11528" max="11776" width="9.140625" style="45"/>
    <col min="11777" max="11777" width="2.5703125" style="45" customWidth="1"/>
    <col min="11778" max="11779" width="4.28515625" style="45" customWidth="1"/>
    <col min="11780" max="11780" width="39" style="45" customWidth="1"/>
    <col min="11781" max="11781" width="55.7109375" style="45" customWidth="1"/>
    <col min="11782" max="11782" width="9.140625" style="45"/>
    <col min="11783" max="11783" width="9.140625" style="45" customWidth="1"/>
    <col min="11784" max="12032" width="9.140625" style="45"/>
    <col min="12033" max="12033" width="2.5703125" style="45" customWidth="1"/>
    <col min="12034" max="12035" width="4.28515625" style="45" customWidth="1"/>
    <col min="12036" max="12036" width="39" style="45" customWidth="1"/>
    <col min="12037" max="12037" width="55.7109375" style="45" customWidth="1"/>
    <col min="12038" max="12038" width="9.140625" style="45"/>
    <col min="12039" max="12039" width="9.140625" style="45" customWidth="1"/>
    <col min="12040" max="12288" width="9.140625" style="45"/>
    <col min="12289" max="12289" width="2.5703125" style="45" customWidth="1"/>
    <col min="12290" max="12291" width="4.28515625" style="45" customWidth="1"/>
    <col min="12292" max="12292" width="39" style="45" customWidth="1"/>
    <col min="12293" max="12293" width="55.7109375" style="45" customWidth="1"/>
    <col min="12294" max="12294" width="9.140625" style="45"/>
    <col min="12295" max="12295" width="9.140625" style="45" customWidth="1"/>
    <col min="12296" max="12544" width="9.140625" style="45"/>
    <col min="12545" max="12545" width="2.5703125" style="45" customWidth="1"/>
    <col min="12546" max="12547" width="4.28515625" style="45" customWidth="1"/>
    <col min="12548" max="12548" width="39" style="45" customWidth="1"/>
    <col min="12549" max="12549" width="55.7109375" style="45" customWidth="1"/>
    <col min="12550" max="12550" width="9.140625" style="45"/>
    <col min="12551" max="12551" width="9.140625" style="45" customWidth="1"/>
    <col min="12552" max="12800" width="9.140625" style="45"/>
    <col min="12801" max="12801" width="2.5703125" style="45" customWidth="1"/>
    <col min="12802" max="12803" width="4.28515625" style="45" customWidth="1"/>
    <col min="12804" max="12804" width="39" style="45" customWidth="1"/>
    <col min="12805" max="12805" width="55.7109375" style="45" customWidth="1"/>
    <col min="12806" max="12806" width="9.140625" style="45"/>
    <col min="12807" max="12807" width="9.140625" style="45" customWidth="1"/>
    <col min="12808" max="13056" width="9.140625" style="45"/>
    <col min="13057" max="13057" width="2.5703125" style="45" customWidth="1"/>
    <col min="13058" max="13059" width="4.28515625" style="45" customWidth="1"/>
    <col min="13060" max="13060" width="39" style="45" customWidth="1"/>
    <col min="13061" max="13061" width="55.7109375" style="45" customWidth="1"/>
    <col min="13062" max="13062" width="9.140625" style="45"/>
    <col min="13063" max="13063" width="9.140625" style="45" customWidth="1"/>
    <col min="13064" max="13312" width="9.140625" style="45"/>
    <col min="13313" max="13313" width="2.5703125" style="45" customWidth="1"/>
    <col min="13314" max="13315" width="4.28515625" style="45" customWidth="1"/>
    <col min="13316" max="13316" width="39" style="45" customWidth="1"/>
    <col min="13317" max="13317" width="55.7109375" style="45" customWidth="1"/>
    <col min="13318" max="13318" width="9.140625" style="45"/>
    <col min="13319" max="13319" width="9.140625" style="45" customWidth="1"/>
    <col min="13320" max="13568" width="9.140625" style="45"/>
    <col min="13569" max="13569" width="2.5703125" style="45" customWidth="1"/>
    <col min="13570" max="13571" width="4.28515625" style="45" customWidth="1"/>
    <col min="13572" max="13572" width="39" style="45" customWidth="1"/>
    <col min="13573" max="13573" width="55.7109375" style="45" customWidth="1"/>
    <col min="13574" max="13574" width="9.140625" style="45"/>
    <col min="13575" max="13575" width="9.140625" style="45" customWidth="1"/>
    <col min="13576" max="13824" width="9.140625" style="45"/>
    <col min="13825" max="13825" width="2.5703125" style="45" customWidth="1"/>
    <col min="13826" max="13827" width="4.28515625" style="45" customWidth="1"/>
    <col min="13828" max="13828" width="39" style="45" customWidth="1"/>
    <col min="13829" max="13829" width="55.7109375" style="45" customWidth="1"/>
    <col min="13830" max="13830" width="9.140625" style="45"/>
    <col min="13831" max="13831" width="9.140625" style="45" customWidth="1"/>
    <col min="13832" max="14080" width="9.140625" style="45"/>
    <col min="14081" max="14081" width="2.5703125" style="45" customWidth="1"/>
    <col min="14082" max="14083" width="4.28515625" style="45" customWidth="1"/>
    <col min="14084" max="14084" width="39" style="45" customWidth="1"/>
    <col min="14085" max="14085" width="55.7109375" style="45" customWidth="1"/>
    <col min="14086" max="14086" width="9.140625" style="45"/>
    <col min="14087" max="14087" width="9.140625" style="45" customWidth="1"/>
    <col min="14088" max="14336" width="9.140625" style="45"/>
    <col min="14337" max="14337" width="2.5703125" style="45" customWidth="1"/>
    <col min="14338" max="14339" width="4.28515625" style="45" customWidth="1"/>
    <col min="14340" max="14340" width="39" style="45" customWidth="1"/>
    <col min="14341" max="14341" width="55.7109375" style="45" customWidth="1"/>
    <col min="14342" max="14342" width="9.140625" style="45"/>
    <col min="14343" max="14343" width="9.140625" style="45" customWidth="1"/>
    <col min="14344" max="14592" width="9.140625" style="45"/>
    <col min="14593" max="14593" width="2.5703125" style="45" customWidth="1"/>
    <col min="14594" max="14595" width="4.28515625" style="45" customWidth="1"/>
    <col min="14596" max="14596" width="39" style="45" customWidth="1"/>
    <col min="14597" max="14597" width="55.7109375" style="45" customWidth="1"/>
    <col min="14598" max="14598" width="9.140625" style="45"/>
    <col min="14599" max="14599" width="9.140625" style="45" customWidth="1"/>
    <col min="14600" max="14848" width="9.140625" style="45"/>
    <col min="14849" max="14849" width="2.5703125" style="45" customWidth="1"/>
    <col min="14850" max="14851" width="4.28515625" style="45" customWidth="1"/>
    <col min="14852" max="14852" width="39" style="45" customWidth="1"/>
    <col min="14853" max="14853" width="55.7109375" style="45" customWidth="1"/>
    <col min="14854" max="14854" width="9.140625" style="45"/>
    <col min="14855" max="14855" width="9.140625" style="45" customWidth="1"/>
    <col min="14856" max="15104" width="9.140625" style="45"/>
    <col min="15105" max="15105" width="2.5703125" style="45" customWidth="1"/>
    <col min="15106" max="15107" width="4.28515625" style="45" customWidth="1"/>
    <col min="15108" max="15108" width="39" style="45" customWidth="1"/>
    <col min="15109" max="15109" width="55.7109375" style="45" customWidth="1"/>
    <col min="15110" max="15110" width="9.140625" style="45"/>
    <col min="15111" max="15111" width="9.140625" style="45" customWidth="1"/>
    <col min="15112" max="15360" width="9.140625" style="45"/>
    <col min="15361" max="15361" width="2.5703125" style="45" customWidth="1"/>
    <col min="15362" max="15363" width="4.28515625" style="45" customWidth="1"/>
    <col min="15364" max="15364" width="39" style="45" customWidth="1"/>
    <col min="15365" max="15365" width="55.7109375" style="45" customWidth="1"/>
    <col min="15366" max="15366" width="9.140625" style="45"/>
    <col min="15367" max="15367" width="9.140625" style="45" customWidth="1"/>
    <col min="15368" max="15616" width="9.140625" style="45"/>
    <col min="15617" max="15617" width="2.5703125" style="45" customWidth="1"/>
    <col min="15618" max="15619" width="4.28515625" style="45" customWidth="1"/>
    <col min="15620" max="15620" width="39" style="45" customWidth="1"/>
    <col min="15621" max="15621" width="55.7109375" style="45" customWidth="1"/>
    <col min="15622" max="15622" width="9.140625" style="45"/>
    <col min="15623" max="15623" width="9.140625" style="45" customWidth="1"/>
    <col min="15624" max="15872" width="9.140625" style="45"/>
    <col min="15873" max="15873" width="2.5703125" style="45" customWidth="1"/>
    <col min="15874" max="15875" width="4.28515625" style="45" customWidth="1"/>
    <col min="15876" max="15876" width="39" style="45" customWidth="1"/>
    <col min="15877" max="15877" width="55.7109375" style="45" customWidth="1"/>
    <col min="15878" max="15878" width="9.140625" style="45"/>
    <col min="15879" max="15879" width="9.140625" style="45" customWidth="1"/>
    <col min="15880" max="16128" width="9.140625" style="45"/>
    <col min="16129" max="16129" width="2.5703125" style="45" customWidth="1"/>
    <col min="16130" max="16131" width="4.28515625" style="45" customWidth="1"/>
    <col min="16132" max="16132" width="39" style="45" customWidth="1"/>
    <col min="16133" max="16133" width="55.7109375" style="45" customWidth="1"/>
    <col min="16134" max="16134" width="9.140625" style="45"/>
    <col min="16135" max="16135" width="9.140625" style="45" customWidth="1"/>
    <col min="16136" max="16384" width="9.140625" style="45"/>
  </cols>
  <sheetData>
    <row r="1" spans="1:26" s="43" customFormat="1" ht="15" customHeight="1" x14ac:dyDescent="0.2">
      <c r="A1" s="40"/>
      <c r="B1" s="1683" t="s">
        <v>1661</v>
      </c>
      <c r="C1" s="1683"/>
      <c r="D1" s="1683"/>
      <c r="E1" s="1420" t="s">
        <v>1654</v>
      </c>
      <c r="F1" s="41"/>
      <c r="G1" s="42"/>
      <c r="H1" s="42"/>
      <c r="I1" s="42"/>
    </row>
    <row r="2" spans="1:26" ht="53.25" customHeight="1" x14ac:dyDescent="0.2">
      <c r="A2" s="44"/>
      <c r="B2" s="1709" t="s">
        <v>1885</v>
      </c>
      <c r="C2" s="1709"/>
      <c r="D2" s="1709"/>
      <c r="E2" s="1709"/>
      <c r="F2" s="44"/>
      <c r="G2" s="44"/>
      <c r="H2" s="44"/>
      <c r="I2" s="44"/>
      <c r="J2" s="44"/>
      <c r="K2" s="44"/>
      <c r="L2" s="44"/>
      <c r="M2" s="44"/>
      <c r="N2" s="44"/>
      <c r="O2" s="44"/>
      <c r="P2" s="44"/>
      <c r="Q2" s="44"/>
      <c r="R2" s="44"/>
      <c r="S2" s="44"/>
      <c r="T2" s="44"/>
      <c r="U2" s="44"/>
      <c r="V2" s="44"/>
      <c r="W2" s="44"/>
      <c r="X2" s="44"/>
      <c r="Y2" s="44"/>
      <c r="Z2" s="44"/>
    </row>
    <row r="3" spans="1:26" ht="70.5" customHeight="1" x14ac:dyDescent="0.2">
      <c r="A3" s="44"/>
      <c r="B3" s="1710" t="s">
        <v>1886</v>
      </c>
      <c r="C3" s="1710"/>
      <c r="D3" s="1710"/>
      <c r="E3" s="1710"/>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2">
      <c r="A4" s="44"/>
      <c r="B4" s="1711" t="s">
        <v>1662</v>
      </c>
      <c r="C4" s="1712"/>
      <c r="D4" s="1712"/>
      <c r="E4" s="1713"/>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2">
      <c r="A5" s="44"/>
      <c r="B5" s="1714" t="s">
        <v>1663</v>
      </c>
      <c r="C5" s="1715"/>
      <c r="D5" s="1716"/>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2">
      <c r="A6" s="44"/>
      <c r="B6" s="1706" t="s">
        <v>1666</v>
      </c>
      <c r="C6" s="1707"/>
      <c r="D6" s="1708"/>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2">
      <c r="A7" s="44"/>
      <c r="B7" s="1706" t="s">
        <v>1669</v>
      </c>
      <c r="C7" s="1707"/>
      <c r="D7" s="1708"/>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2">
      <c r="A8" s="44"/>
      <c r="B8" s="1706" t="s">
        <v>1672</v>
      </c>
      <c r="C8" s="1707"/>
      <c r="D8" s="1708"/>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2">
      <c r="A9" s="44"/>
      <c r="B9" s="1706" t="s">
        <v>1675</v>
      </c>
      <c r="C9" s="1707"/>
      <c r="D9" s="1708"/>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2">
      <c r="A10" s="44"/>
      <c r="B10" s="1706" t="s">
        <v>1677</v>
      </c>
      <c r="C10" s="1707"/>
      <c r="D10" s="1708"/>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2">
      <c r="A11" s="44"/>
      <c r="B11" s="1706" t="s">
        <v>1679</v>
      </c>
      <c r="C11" s="1707"/>
      <c r="D11" s="1708"/>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2">
      <c r="A12" s="44"/>
      <c r="B12" s="1706" t="s">
        <v>1680</v>
      </c>
      <c r="C12" s="1707"/>
      <c r="D12" s="1708"/>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2">
      <c r="A13" s="44"/>
      <c r="B13" s="1725"/>
      <c r="C13" s="1726"/>
      <c r="D13" s="1727"/>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2">
      <c r="A14" s="44"/>
      <c r="B14" s="1711" t="s">
        <v>1887</v>
      </c>
      <c r="C14" s="1712"/>
      <c r="D14" s="1712"/>
      <c r="E14" s="1713"/>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2">
      <c r="A15" s="44"/>
      <c r="B15" s="51" t="s">
        <v>1681</v>
      </c>
      <c r="C15" s="1728" t="s">
        <v>1888</v>
      </c>
      <c r="D15" s="1728"/>
      <c r="E15" s="1729"/>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2">
      <c r="A16" s="44"/>
      <c r="B16" s="52" t="s">
        <v>1682</v>
      </c>
      <c r="C16" s="53"/>
      <c r="D16" s="1730" t="s">
        <v>1683</v>
      </c>
      <c r="E16" s="1731"/>
      <c r="F16" s="44"/>
      <c r="G16" s="44" t="s">
        <v>1742</v>
      </c>
      <c r="H16" s="44"/>
      <c r="I16" s="44"/>
      <c r="J16" s="44"/>
      <c r="K16" s="44"/>
      <c r="L16" s="44"/>
      <c r="M16" s="44"/>
      <c r="N16" s="44"/>
      <c r="O16" s="44"/>
      <c r="P16" s="44"/>
      <c r="Q16" s="44"/>
      <c r="R16" s="44"/>
      <c r="S16" s="44"/>
      <c r="T16" s="44"/>
      <c r="U16" s="44"/>
      <c r="V16" s="44"/>
      <c r="W16" s="44"/>
      <c r="X16" s="44"/>
      <c r="Y16" s="44"/>
      <c r="Z16" s="44"/>
    </row>
    <row r="17" spans="1:26" ht="15" customHeight="1" x14ac:dyDescent="0.2">
      <c r="A17" s="44"/>
      <c r="B17" s="54" t="s">
        <v>1684</v>
      </c>
      <c r="C17" s="55"/>
      <c r="D17" s="1721" t="s">
        <v>1685</v>
      </c>
      <c r="E17" s="1722"/>
      <c r="F17" s="44"/>
      <c r="G17" s="44" t="s">
        <v>1744</v>
      </c>
      <c r="H17" s="44"/>
      <c r="I17" s="44"/>
      <c r="J17" s="44"/>
      <c r="K17" s="44"/>
      <c r="L17" s="44"/>
      <c r="M17" s="44"/>
      <c r="N17" s="44"/>
      <c r="O17" s="44"/>
      <c r="P17" s="44"/>
      <c r="Q17" s="44"/>
      <c r="R17" s="44"/>
      <c r="S17" s="44"/>
      <c r="T17" s="44"/>
      <c r="U17" s="44"/>
      <c r="V17" s="44"/>
      <c r="W17" s="44"/>
      <c r="X17" s="44"/>
      <c r="Y17" s="44"/>
      <c r="Z17" s="44"/>
    </row>
    <row r="18" spans="1:26" ht="15" customHeight="1" x14ac:dyDescent="0.2">
      <c r="A18" s="44"/>
      <c r="B18" s="54" t="s">
        <v>1686</v>
      </c>
      <c r="C18" s="55"/>
      <c r="D18" s="1721" t="s">
        <v>1687</v>
      </c>
      <c r="E18" s="1722"/>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2">
      <c r="A19" s="44"/>
      <c r="B19" s="1717" t="s">
        <v>1688</v>
      </c>
      <c r="C19" s="1719"/>
      <c r="D19" s="1721" t="s">
        <v>1689</v>
      </c>
      <c r="E19" s="1722"/>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2">
      <c r="A20" s="44"/>
      <c r="B20" s="1718"/>
      <c r="C20" s="1720"/>
      <c r="D20" s="1723"/>
      <c r="E20" s="1724"/>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2">
      <c r="A21" s="44"/>
      <c r="B21" s="51" t="s">
        <v>1690</v>
      </c>
      <c r="C21" s="1728" t="s">
        <v>1889</v>
      </c>
      <c r="D21" s="1728"/>
      <c r="E21" s="1729"/>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2">
      <c r="A22" s="44"/>
      <c r="B22" s="52" t="s">
        <v>1682</v>
      </c>
      <c r="C22" s="53"/>
      <c r="D22" s="1730" t="s">
        <v>1691</v>
      </c>
      <c r="E22" s="1731"/>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2">
      <c r="A23" s="44"/>
      <c r="B23" s="54" t="s">
        <v>1684</v>
      </c>
      <c r="C23" s="55"/>
      <c r="D23" s="1721" t="s">
        <v>1693</v>
      </c>
      <c r="E23" s="1722"/>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2">
      <c r="A24" s="44"/>
      <c r="B24" s="54" t="s">
        <v>1686</v>
      </c>
      <c r="C24" s="55"/>
      <c r="D24" s="1721" t="s">
        <v>1694</v>
      </c>
      <c r="E24" s="1722"/>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2">
      <c r="A25" s="44"/>
      <c r="B25" s="54" t="s">
        <v>1688</v>
      </c>
      <c r="C25" s="55"/>
      <c r="D25" s="1721" t="s">
        <v>1695</v>
      </c>
      <c r="E25" s="1722"/>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2">
      <c r="A26" s="44"/>
      <c r="B26" s="54" t="s">
        <v>1696</v>
      </c>
      <c r="C26" s="55"/>
      <c r="D26" s="1721" t="s">
        <v>1697</v>
      </c>
      <c r="E26" s="1722"/>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2">
      <c r="A27" s="44"/>
      <c r="B27" s="56" t="s">
        <v>1698</v>
      </c>
      <c r="C27" s="57"/>
      <c r="D27" s="1732" t="s">
        <v>1689</v>
      </c>
      <c r="E27" s="1733"/>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2">
      <c r="A28" s="44"/>
      <c r="B28" s="51" t="s">
        <v>1699</v>
      </c>
      <c r="C28" s="1728" t="s">
        <v>1700</v>
      </c>
      <c r="D28" s="1728"/>
      <c r="E28" s="1729"/>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2">
      <c r="A29" s="44"/>
      <c r="B29" s="52" t="s">
        <v>1682</v>
      </c>
      <c r="C29" s="53"/>
      <c r="D29" s="1730" t="s">
        <v>1701</v>
      </c>
      <c r="E29" s="1731"/>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2">
      <c r="A30" s="44"/>
      <c r="B30" s="54" t="s">
        <v>1684</v>
      </c>
      <c r="C30" s="55"/>
      <c r="D30" s="1721" t="s">
        <v>1702</v>
      </c>
      <c r="E30" s="1722"/>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2">
      <c r="A31" s="44"/>
      <c r="B31" s="54" t="s">
        <v>1686</v>
      </c>
      <c r="C31" s="55"/>
      <c r="D31" s="1721" t="s">
        <v>1703</v>
      </c>
      <c r="E31" s="1722"/>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2">
      <c r="A32" s="44"/>
      <c r="B32" s="56" t="s">
        <v>1688</v>
      </c>
      <c r="C32" s="57"/>
      <c r="D32" s="1732" t="s">
        <v>1704</v>
      </c>
      <c r="E32" s="1733"/>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2">
      <c r="A33" s="44"/>
      <c r="B33" s="58" t="s">
        <v>1705</v>
      </c>
      <c r="C33" s="1728" t="s">
        <v>1890</v>
      </c>
      <c r="D33" s="1728"/>
      <c r="E33" s="1729"/>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2">
      <c r="A34" s="44"/>
      <c r="B34" s="52" t="s">
        <v>1682</v>
      </c>
      <c r="C34" s="53"/>
      <c r="D34" s="1730" t="s">
        <v>1897</v>
      </c>
      <c r="E34" s="1731"/>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2">
      <c r="A35" s="44"/>
      <c r="B35" s="54" t="s">
        <v>1684</v>
      </c>
      <c r="C35" s="55"/>
      <c r="D35" s="1721" t="s">
        <v>1707</v>
      </c>
      <c r="E35" s="1722"/>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2">
      <c r="A36" s="44"/>
      <c r="B36" s="54" t="s">
        <v>1686</v>
      </c>
      <c r="C36" s="55"/>
      <c r="D36" s="1721" t="s">
        <v>1708</v>
      </c>
      <c r="E36" s="1722"/>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2">
      <c r="A37" s="44"/>
      <c r="B37" s="56" t="s">
        <v>1688</v>
      </c>
      <c r="C37" s="57"/>
      <c r="D37" s="1736" t="s">
        <v>1898</v>
      </c>
      <c r="E37" s="1737"/>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2">
      <c r="A38" s="44"/>
      <c r="B38" s="58" t="s">
        <v>1710</v>
      </c>
      <c r="C38" s="1728" t="s">
        <v>1891</v>
      </c>
      <c r="D38" s="1728"/>
      <c r="E38" s="1729"/>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2">
      <c r="A39" s="44"/>
      <c r="B39" s="52" t="s">
        <v>1682</v>
      </c>
      <c r="C39" s="53"/>
      <c r="D39" s="1738" t="s">
        <v>1711</v>
      </c>
      <c r="E39" s="1739"/>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2">
      <c r="A40" s="44"/>
      <c r="B40" s="1740" t="s">
        <v>1684</v>
      </c>
      <c r="C40" s="1719"/>
      <c r="D40" s="1734" t="s">
        <v>1712</v>
      </c>
      <c r="E40" s="1735"/>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2">
      <c r="A41" s="44"/>
      <c r="B41" s="1741"/>
      <c r="C41" s="1742"/>
      <c r="D41" s="1743"/>
      <c r="E41" s="1744"/>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2">
      <c r="A42" s="44"/>
      <c r="B42" s="59" t="s">
        <v>1686</v>
      </c>
      <c r="C42" s="60"/>
      <c r="D42" s="1734" t="s">
        <v>1713</v>
      </c>
      <c r="E42" s="1735"/>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2">
      <c r="A43" s="44"/>
      <c r="B43" s="54" t="s">
        <v>1688</v>
      </c>
      <c r="C43" s="55"/>
      <c r="D43" s="1734" t="s">
        <v>1714</v>
      </c>
      <c r="E43" s="1735"/>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2">
      <c r="A44" s="44"/>
      <c r="B44" s="1717" t="s">
        <v>1696</v>
      </c>
      <c r="C44" s="1745"/>
      <c r="D44" s="1747" t="s">
        <v>1689</v>
      </c>
      <c r="E44" s="1748"/>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2">
      <c r="A45" s="44"/>
      <c r="B45" s="1718"/>
      <c r="C45" s="1746"/>
      <c r="D45" s="1723"/>
      <c r="E45" s="1724"/>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2">
      <c r="A46" s="44"/>
      <c r="B46" s="58" t="s">
        <v>1716</v>
      </c>
      <c r="C46" s="1728" t="s">
        <v>1892</v>
      </c>
      <c r="D46" s="1728"/>
      <c r="E46" s="1729"/>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2">
      <c r="A47" s="44"/>
      <c r="B47" s="52" t="s">
        <v>1682</v>
      </c>
      <c r="C47" s="53"/>
      <c r="D47" s="1730" t="s">
        <v>1717</v>
      </c>
      <c r="E47" s="1731"/>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2">
      <c r="A48" s="44"/>
      <c r="B48" s="59" t="s">
        <v>1684</v>
      </c>
      <c r="C48" s="60"/>
      <c r="D48" s="1721" t="s">
        <v>1718</v>
      </c>
      <c r="E48" s="1722"/>
      <c r="F48" s="44"/>
      <c r="G48" s="44" t="s">
        <v>254</v>
      </c>
      <c r="H48" s="44"/>
      <c r="I48" s="44"/>
      <c r="J48" s="44"/>
      <c r="K48" s="44"/>
      <c r="L48" s="44"/>
      <c r="M48" s="44"/>
      <c r="N48" s="44"/>
      <c r="O48" s="44"/>
      <c r="P48" s="44"/>
      <c r="Q48" s="44"/>
      <c r="R48" s="44"/>
      <c r="S48" s="44"/>
      <c r="T48" s="44"/>
      <c r="U48" s="44"/>
      <c r="V48" s="44"/>
      <c r="W48" s="44"/>
      <c r="X48" s="44"/>
      <c r="Y48" s="44"/>
      <c r="Z48" s="44"/>
    </row>
    <row r="49" spans="1:26" ht="15" customHeight="1" x14ac:dyDescent="0.2">
      <c r="A49" s="44"/>
      <c r="B49" s="59" t="s">
        <v>1686</v>
      </c>
      <c r="C49" s="60"/>
      <c r="D49" s="1721" t="s">
        <v>1720</v>
      </c>
      <c r="E49" s="1722"/>
      <c r="F49" s="44"/>
      <c r="G49" s="44" t="s">
        <v>265</v>
      </c>
      <c r="H49" s="44"/>
      <c r="I49" s="44"/>
      <c r="J49" s="44"/>
      <c r="K49" s="44"/>
      <c r="L49" s="44"/>
      <c r="M49" s="44"/>
      <c r="N49" s="44"/>
      <c r="O49" s="44"/>
      <c r="P49" s="44"/>
      <c r="Q49" s="44"/>
      <c r="R49" s="44"/>
      <c r="S49" s="44"/>
      <c r="T49" s="44"/>
      <c r="U49" s="44"/>
      <c r="V49" s="44"/>
      <c r="W49" s="44"/>
      <c r="X49" s="44"/>
      <c r="Y49" s="44"/>
      <c r="Z49" s="44"/>
    </row>
    <row r="50" spans="1:26" ht="15" customHeight="1" x14ac:dyDescent="0.2">
      <c r="A50" s="44"/>
      <c r="B50" s="59" t="s">
        <v>1688</v>
      </c>
      <c r="C50" s="60"/>
      <c r="D50" s="1721" t="s">
        <v>1722</v>
      </c>
      <c r="E50" s="1722"/>
      <c r="F50" s="44"/>
      <c r="G50" s="44" t="s">
        <v>1719</v>
      </c>
      <c r="H50" s="44"/>
      <c r="I50" s="44"/>
      <c r="J50" s="44"/>
      <c r="K50" s="44"/>
      <c r="L50" s="44"/>
      <c r="M50" s="44"/>
      <c r="N50" s="44"/>
      <c r="O50" s="44"/>
      <c r="P50" s="44"/>
      <c r="Q50" s="44"/>
      <c r="R50" s="44"/>
      <c r="S50" s="44"/>
      <c r="T50" s="44"/>
      <c r="U50" s="44"/>
      <c r="V50" s="44"/>
      <c r="W50" s="44"/>
      <c r="X50" s="44"/>
      <c r="Y50" s="44"/>
      <c r="Z50" s="44"/>
    </row>
    <row r="51" spans="1:26" ht="15" customHeight="1" x14ac:dyDescent="0.2">
      <c r="A51" s="44"/>
      <c r="B51" s="54" t="s">
        <v>1696</v>
      </c>
      <c r="C51" s="55"/>
      <c r="D51" s="1721" t="s">
        <v>1723</v>
      </c>
      <c r="E51" s="1722"/>
      <c r="F51" s="44"/>
      <c r="G51" s="44" t="s">
        <v>1721</v>
      </c>
      <c r="H51" s="44"/>
      <c r="I51" s="44"/>
      <c r="J51" s="44"/>
      <c r="K51" s="44"/>
      <c r="L51" s="44"/>
      <c r="M51" s="44"/>
      <c r="N51" s="44"/>
      <c r="O51" s="44"/>
      <c r="P51" s="44"/>
      <c r="Q51" s="44"/>
      <c r="R51" s="44"/>
      <c r="S51" s="44"/>
      <c r="T51" s="44"/>
      <c r="U51" s="44"/>
      <c r="V51" s="44"/>
      <c r="W51" s="44"/>
      <c r="X51" s="44"/>
      <c r="Y51" s="44"/>
      <c r="Z51" s="44"/>
    </row>
    <row r="52" spans="1:26" ht="15" customHeight="1" x14ac:dyDescent="0.2">
      <c r="A52" s="44"/>
      <c r="B52" s="54" t="s">
        <v>1698</v>
      </c>
      <c r="C52" s="55"/>
      <c r="D52" s="1721" t="s">
        <v>1724</v>
      </c>
      <c r="E52" s="1722"/>
      <c r="F52" s="44"/>
      <c r="G52" s="44" t="s">
        <v>269</v>
      </c>
      <c r="H52" s="44"/>
      <c r="I52" s="44"/>
      <c r="J52" s="44"/>
      <c r="K52" s="44"/>
      <c r="L52" s="44"/>
      <c r="M52" s="44"/>
      <c r="N52" s="44"/>
      <c r="O52" s="44"/>
      <c r="P52" s="44"/>
      <c r="Q52" s="44"/>
      <c r="R52" s="44"/>
      <c r="S52" s="44"/>
      <c r="T52" s="44"/>
      <c r="U52" s="44"/>
      <c r="V52" s="44"/>
      <c r="W52" s="44"/>
      <c r="X52" s="44"/>
      <c r="Y52" s="44"/>
      <c r="Z52" s="44"/>
    </row>
    <row r="53" spans="1:26" ht="15" customHeight="1" x14ac:dyDescent="0.2">
      <c r="A53" s="44"/>
      <c r="B53" s="1740" t="s">
        <v>1725</v>
      </c>
      <c r="C53" s="1719"/>
      <c r="D53" s="1721" t="s">
        <v>1689</v>
      </c>
      <c r="E53" s="1722"/>
      <c r="F53" s="44"/>
      <c r="G53" s="44" t="s">
        <v>275</v>
      </c>
      <c r="H53" s="44"/>
      <c r="I53" s="44"/>
      <c r="J53" s="44"/>
      <c r="K53" s="44"/>
      <c r="L53" s="44"/>
      <c r="M53" s="44"/>
      <c r="N53" s="44"/>
      <c r="O53" s="44"/>
      <c r="P53" s="44"/>
      <c r="Q53" s="44"/>
      <c r="R53" s="44"/>
      <c r="S53" s="44"/>
      <c r="T53" s="44"/>
      <c r="U53" s="44"/>
      <c r="V53" s="44"/>
      <c r="W53" s="44"/>
      <c r="X53" s="44"/>
      <c r="Y53" s="44"/>
      <c r="Z53" s="44"/>
    </row>
    <row r="54" spans="1:26" ht="22.5" customHeight="1" x14ac:dyDescent="0.2">
      <c r="A54" s="44"/>
      <c r="B54" s="1749"/>
      <c r="C54" s="1720"/>
      <c r="D54" s="1750"/>
      <c r="E54" s="1751"/>
      <c r="F54" s="44"/>
      <c r="G54" s="44" t="s">
        <v>2</v>
      </c>
      <c r="H54" s="44"/>
      <c r="I54" s="44"/>
      <c r="J54" s="44"/>
      <c r="K54" s="44"/>
      <c r="L54" s="44"/>
      <c r="M54" s="44"/>
      <c r="N54" s="44"/>
      <c r="O54" s="44"/>
      <c r="P54" s="44"/>
      <c r="Q54" s="44"/>
      <c r="R54" s="44"/>
      <c r="S54" s="44"/>
      <c r="T54" s="44"/>
      <c r="U54" s="44"/>
      <c r="V54" s="44"/>
      <c r="W54" s="44"/>
      <c r="X54" s="44"/>
      <c r="Y54" s="44"/>
      <c r="Z54" s="44"/>
    </row>
    <row r="55" spans="1:26" ht="26.25" customHeight="1" x14ac:dyDescent="0.2">
      <c r="A55" s="44"/>
      <c r="B55" s="58" t="s">
        <v>1726</v>
      </c>
      <c r="C55" s="1728" t="s">
        <v>1727</v>
      </c>
      <c r="D55" s="1728"/>
      <c r="E55" s="1729"/>
      <c r="F55" s="44"/>
      <c r="G55" s="44" t="s">
        <v>68</v>
      </c>
      <c r="H55" s="44"/>
      <c r="I55" s="44"/>
      <c r="J55" s="44"/>
      <c r="K55" s="44"/>
      <c r="L55" s="44"/>
      <c r="M55" s="44"/>
      <c r="N55" s="44"/>
      <c r="O55" s="44"/>
      <c r="P55" s="44"/>
      <c r="Q55" s="44"/>
      <c r="R55" s="44"/>
      <c r="S55" s="44"/>
      <c r="T55" s="44"/>
      <c r="U55" s="44"/>
      <c r="V55" s="44"/>
      <c r="W55" s="44"/>
      <c r="X55" s="44"/>
      <c r="Y55" s="44"/>
      <c r="Z55" s="44"/>
    </row>
    <row r="56" spans="1:26" x14ac:dyDescent="0.2">
      <c r="A56" s="44"/>
      <c r="B56" s="52" t="s">
        <v>1682</v>
      </c>
      <c r="C56" s="53"/>
      <c r="D56" s="1730" t="s">
        <v>1728</v>
      </c>
      <c r="E56" s="1731"/>
      <c r="F56" s="44"/>
      <c r="G56" s="44" t="s">
        <v>458</v>
      </c>
      <c r="H56" s="44"/>
      <c r="I56" s="44"/>
      <c r="J56" s="44"/>
      <c r="K56" s="44"/>
      <c r="L56" s="44"/>
      <c r="M56" s="44"/>
      <c r="N56" s="44"/>
      <c r="O56" s="44"/>
      <c r="P56" s="44"/>
      <c r="Q56" s="44"/>
      <c r="R56" s="44"/>
      <c r="S56" s="44"/>
      <c r="T56" s="44"/>
      <c r="U56" s="44"/>
      <c r="V56" s="44"/>
      <c r="W56" s="44"/>
      <c r="X56" s="44"/>
      <c r="Y56" s="44"/>
      <c r="Z56" s="44"/>
    </row>
    <row r="57" spans="1:26" ht="15" customHeight="1" x14ac:dyDescent="0.2">
      <c r="A57" s="44"/>
      <c r="B57" s="1717" t="s">
        <v>1684</v>
      </c>
      <c r="C57" s="1745"/>
      <c r="D57" s="1721" t="s">
        <v>1729</v>
      </c>
      <c r="E57" s="1722"/>
      <c r="F57" s="44"/>
      <c r="G57" s="44" t="s">
        <v>329</v>
      </c>
      <c r="H57" s="44"/>
      <c r="I57" s="44"/>
      <c r="J57" s="44"/>
      <c r="K57" s="44"/>
      <c r="L57" s="44"/>
      <c r="M57" s="44"/>
      <c r="N57" s="44"/>
      <c r="O57" s="44"/>
      <c r="P57" s="44"/>
      <c r="Q57" s="44"/>
      <c r="R57" s="44"/>
      <c r="S57" s="44"/>
      <c r="T57" s="44"/>
      <c r="U57" s="44"/>
      <c r="V57" s="44"/>
      <c r="W57" s="44"/>
      <c r="X57" s="44"/>
      <c r="Y57" s="44"/>
      <c r="Z57" s="44"/>
    </row>
    <row r="58" spans="1:26" ht="22.5" customHeight="1" x14ac:dyDescent="0.2">
      <c r="A58" s="44"/>
      <c r="B58" s="1717"/>
      <c r="C58" s="1745"/>
      <c r="D58" s="1752"/>
      <c r="E58" s="1753"/>
      <c r="F58" s="44"/>
      <c r="G58" s="44" t="s">
        <v>145</v>
      </c>
      <c r="H58" s="44"/>
      <c r="I58" s="44"/>
      <c r="J58" s="44"/>
      <c r="K58" s="44"/>
      <c r="L58" s="44"/>
      <c r="M58" s="44"/>
      <c r="N58" s="44"/>
      <c r="O58" s="44"/>
      <c r="P58" s="44"/>
      <c r="Q58" s="44"/>
      <c r="R58" s="44"/>
      <c r="S58" s="44"/>
      <c r="T58" s="44"/>
      <c r="U58" s="44"/>
      <c r="V58" s="44"/>
      <c r="W58" s="44"/>
      <c r="X58" s="44"/>
      <c r="Y58" s="44"/>
      <c r="Z58" s="44"/>
    </row>
    <row r="59" spans="1:26" x14ac:dyDescent="0.2">
      <c r="A59" s="44"/>
      <c r="B59" s="54" t="s">
        <v>1686</v>
      </c>
      <c r="C59" s="55"/>
      <c r="D59" s="1721" t="s">
        <v>1730</v>
      </c>
      <c r="E59" s="1722"/>
      <c r="F59" s="44"/>
      <c r="G59" s="44" t="s">
        <v>630</v>
      </c>
      <c r="H59" s="44"/>
      <c r="I59" s="44"/>
      <c r="J59" s="44"/>
      <c r="K59" s="44"/>
      <c r="L59" s="44"/>
      <c r="M59" s="44"/>
      <c r="N59" s="44"/>
      <c r="O59" s="44"/>
      <c r="P59" s="44"/>
      <c r="Q59" s="44"/>
      <c r="R59" s="44"/>
      <c r="S59" s="44"/>
      <c r="T59" s="44"/>
      <c r="U59" s="44"/>
      <c r="V59" s="44"/>
      <c r="W59" s="44"/>
      <c r="X59" s="44"/>
      <c r="Y59" s="44"/>
      <c r="Z59" s="44"/>
    </row>
    <row r="60" spans="1:26" ht="15" customHeight="1" x14ac:dyDescent="0.2">
      <c r="A60" s="44"/>
      <c r="B60" s="56" t="s">
        <v>1688</v>
      </c>
      <c r="C60" s="57"/>
      <c r="D60" s="1732" t="s">
        <v>1731</v>
      </c>
      <c r="E60" s="1733"/>
      <c r="F60" s="44"/>
      <c r="G60" s="44" t="s">
        <v>197</v>
      </c>
      <c r="H60" s="44"/>
      <c r="I60" s="44"/>
      <c r="J60" s="44"/>
      <c r="K60" s="44"/>
      <c r="L60" s="44"/>
      <c r="M60" s="44"/>
      <c r="N60" s="44"/>
      <c r="O60" s="44"/>
      <c r="P60" s="44"/>
      <c r="Q60" s="44"/>
      <c r="R60" s="44"/>
      <c r="S60" s="44"/>
      <c r="T60" s="44"/>
      <c r="U60" s="44"/>
      <c r="V60" s="44"/>
      <c r="W60" s="44"/>
      <c r="X60" s="44"/>
      <c r="Y60" s="44"/>
      <c r="Z60" s="44"/>
    </row>
    <row r="61" spans="1:26" ht="26.25" customHeight="1" x14ac:dyDescent="0.2">
      <c r="A61" s="44"/>
      <c r="B61" s="58" t="s">
        <v>1732</v>
      </c>
      <c r="C61" s="1728" t="s">
        <v>1893</v>
      </c>
      <c r="D61" s="1728"/>
      <c r="E61" s="1729"/>
      <c r="F61" s="44"/>
      <c r="G61" s="44" t="s">
        <v>288</v>
      </c>
      <c r="H61" s="44"/>
      <c r="I61" s="44"/>
      <c r="J61" s="44"/>
      <c r="K61" s="44"/>
      <c r="L61" s="44"/>
      <c r="M61" s="44"/>
      <c r="N61" s="44"/>
      <c r="O61" s="44"/>
      <c r="P61" s="44"/>
      <c r="Q61" s="44"/>
      <c r="R61" s="44"/>
      <c r="S61" s="44"/>
      <c r="T61" s="44"/>
      <c r="U61" s="44"/>
      <c r="V61" s="44"/>
      <c r="W61" s="44"/>
      <c r="X61" s="44"/>
      <c r="Y61" s="44"/>
      <c r="Z61" s="44"/>
    </row>
    <row r="62" spans="1:26" ht="15" customHeight="1" x14ac:dyDescent="0.2">
      <c r="A62" s="44"/>
      <c r="B62" s="52" t="s">
        <v>1682</v>
      </c>
      <c r="C62" s="53"/>
      <c r="D62" s="1730" t="s">
        <v>1734</v>
      </c>
      <c r="E62" s="1731"/>
      <c r="F62" s="44"/>
      <c r="G62" s="44" t="s">
        <v>336</v>
      </c>
      <c r="H62" s="44"/>
      <c r="I62" s="44"/>
      <c r="J62" s="44"/>
      <c r="K62" s="44"/>
      <c r="L62" s="44"/>
      <c r="M62" s="44"/>
      <c r="N62" s="44"/>
      <c r="O62" s="44"/>
      <c r="P62" s="44"/>
      <c r="Q62" s="44"/>
      <c r="R62" s="44"/>
      <c r="S62" s="44"/>
      <c r="T62" s="44"/>
      <c r="U62" s="44"/>
      <c r="V62" s="44"/>
      <c r="W62" s="44"/>
      <c r="X62" s="44"/>
      <c r="Y62" s="44"/>
      <c r="Z62" s="44"/>
    </row>
    <row r="63" spans="1:26" ht="15" customHeight="1" x14ac:dyDescent="0.2">
      <c r="A63" s="44"/>
      <c r="B63" s="1717" t="s">
        <v>1684</v>
      </c>
      <c r="C63" s="1745"/>
      <c r="D63" s="1721" t="s">
        <v>1736</v>
      </c>
      <c r="E63" s="1722"/>
      <c r="F63" s="44"/>
      <c r="G63" s="44" t="s">
        <v>1733</v>
      </c>
      <c r="H63" s="44"/>
      <c r="I63" s="44"/>
      <c r="J63" s="44"/>
      <c r="K63" s="44"/>
      <c r="L63" s="44"/>
      <c r="M63" s="44"/>
      <c r="N63" s="44"/>
      <c r="O63" s="44"/>
      <c r="P63" s="44"/>
      <c r="Q63" s="44"/>
      <c r="R63" s="44"/>
      <c r="S63" s="44"/>
      <c r="T63" s="44"/>
      <c r="U63" s="44"/>
      <c r="V63" s="44"/>
      <c r="W63" s="44"/>
      <c r="X63" s="44"/>
      <c r="Y63" s="44"/>
      <c r="Z63" s="44"/>
    </row>
    <row r="64" spans="1:26" ht="22.5" customHeight="1" x14ac:dyDescent="0.2">
      <c r="A64" s="44"/>
      <c r="B64" s="1717"/>
      <c r="C64" s="1745"/>
      <c r="D64" s="1752"/>
      <c r="E64" s="1753"/>
      <c r="F64" s="44"/>
      <c r="G64" s="44" t="s">
        <v>1735</v>
      </c>
      <c r="H64" s="44"/>
      <c r="I64" s="44"/>
      <c r="J64" s="44"/>
      <c r="K64" s="44"/>
      <c r="L64" s="44"/>
      <c r="M64" s="44"/>
      <c r="N64" s="44"/>
      <c r="O64" s="44"/>
      <c r="P64" s="44"/>
      <c r="Q64" s="44"/>
      <c r="R64" s="44"/>
      <c r="S64" s="44"/>
      <c r="T64" s="44"/>
      <c r="U64" s="44"/>
      <c r="V64" s="44"/>
      <c r="W64" s="44"/>
      <c r="X64" s="44"/>
      <c r="Y64" s="44"/>
      <c r="Z64" s="44"/>
    </row>
    <row r="65" spans="1:26" ht="15" customHeight="1" x14ac:dyDescent="0.2">
      <c r="A65" s="44"/>
      <c r="B65" s="54" t="s">
        <v>1686</v>
      </c>
      <c r="C65" s="55"/>
      <c r="D65" s="1721" t="s">
        <v>1738</v>
      </c>
      <c r="E65" s="1722"/>
      <c r="F65" s="44"/>
      <c r="G65" s="44" t="s">
        <v>622</v>
      </c>
      <c r="H65" s="44"/>
      <c r="I65" s="44"/>
      <c r="J65" s="44"/>
      <c r="K65" s="44"/>
      <c r="L65" s="44"/>
      <c r="M65" s="44"/>
      <c r="N65" s="44"/>
      <c r="O65" s="44"/>
      <c r="P65" s="44"/>
      <c r="Q65" s="44"/>
      <c r="R65" s="44"/>
      <c r="S65" s="44"/>
      <c r="T65" s="44"/>
      <c r="U65" s="44"/>
      <c r="V65" s="44"/>
      <c r="W65" s="44"/>
      <c r="X65" s="44"/>
      <c r="Y65" s="44"/>
      <c r="Z65" s="44"/>
    </row>
    <row r="66" spans="1:26" ht="15" customHeight="1" x14ac:dyDescent="0.2">
      <c r="A66" s="44"/>
      <c r="B66" s="56" t="s">
        <v>1688</v>
      </c>
      <c r="C66" s="57"/>
      <c r="D66" s="1732" t="s">
        <v>1739</v>
      </c>
      <c r="E66" s="1733"/>
      <c r="F66" s="44"/>
      <c r="G66" s="44" t="s">
        <v>1737</v>
      </c>
      <c r="H66" s="44"/>
      <c r="I66" s="44"/>
      <c r="J66" s="44"/>
      <c r="K66" s="44"/>
      <c r="L66" s="44"/>
      <c r="M66" s="44"/>
      <c r="N66" s="44"/>
      <c r="O66" s="44"/>
      <c r="P66" s="44"/>
      <c r="Q66" s="44"/>
      <c r="R66" s="44"/>
      <c r="S66" s="44"/>
      <c r="T66" s="44"/>
      <c r="U66" s="44"/>
      <c r="V66" s="44"/>
      <c r="W66" s="44"/>
      <c r="X66" s="44"/>
      <c r="Y66" s="44"/>
      <c r="Z66" s="44"/>
    </row>
    <row r="67" spans="1:26" ht="26.25" customHeight="1" x14ac:dyDescent="0.2">
      <c r="A67" s="44"/>
      <c r="B67" s="58" t="s">
        <v>1740</v>
      </c>
      <c r="C67" s="1728" t="s">
        <v>1894</v>
      </c>
      <c r="D67" s="1728"/>
      <c r="E67" s="1729"/>
      <c r="F67" s="44"/>
      <c r="G67" s="44" t="s">
        <v>291</v>
      </c>
      <c r="H67" s="44"/>
      <c r="I67" s="44"/>
      <c r="J67" s="44"/>
      <c r="K67" s="44"/>
      <c r="L67" s="44"/>
      <c r="M67" s="44"/>
      <c r="N67" s="44"/>
      <c r="O67" s="44"/>
      <c r="P67" s="44"/>
      <c r="Q67" s="44"/>
      <c r="R67" s="44"/>
      <c r="S67" s="44"/>
      <c r="T67" s="44"/>
      <c r="U67" s="44"/>
      <c r="V67" s="44"/>
      <c r="W67" s="44"/>
      <c r="X67" s="44"/>
      <c r="Y67" s="44"/>
      <c r="Z67" s="44"/>
    </row>
    <row r="68" spans="1:26" ht="15" customHeight="1" x14ac:dyDescent="0.2">
      <c r="A68" s="44"/>
      <c r="B68" s="52" t="s">
        <v>1682</v>
      </c>
      <c r="C68" s="53"/>
      <c r="D68" s="1730" t="s">
        <v>1741</v>
      </c>
      <c r="E68" s="1731"/>
      <c r="F68" s="44"/>
      <c r="G68" s="44" t="s">
        <v>294</v>
      </c>
      <c r="H68" s="44"/>
      <c r="I68" s="44"/>
      <c r="J68" s="44"/>
      <c r="K68" s="44"/>
      <c r="L68" s="44"/>
      <c r="M68" s="44"/>
      <c r="N68" s="44"/>
      <c r="O68" s="44"/>
      <c r="P68" s="44"/>
      <c r="Q68" s="44"/>
      <c r="R68" s="44"/>
      <c r="S68" s="44"/>
      <c r="T68" s="44"/>
      <c r="U68" s="44"/>
      <c r="V68" s="44"/>
      <c r="W68" s="44"/>
      <c r="X68" s="44"/>
      <c r="Y68" s="44"/>
      <c r="Z68" s="44"/>
    </row>
    <row r="69" spans="1:26" ht="15" customHeight="1" x14ac:dyDescent="0.2">
      <c r="A69" s="44"/>
      <c r="B69" s="54" t="s">
        <v>1684</v>
      </c>
      <c r="C69" s="55"/>
      <c r="D69" s="1721" t="s">
        <v>1743</v>
      </c>
      <c r="E69" s="1722"/>
      <c r="F69" s="44"/>
      <c r="G69" s="44" t="s">
        <v>307</v>
      </c>
      <c r="H69" s="44"/>
      <c r="I69" s="44"/>
      <c r="J69" s="44"/>
      <c r="K69" s="44"/>
      <c r="L69" s="44"/>
      <c r="M69" s="44"/>
      <c r="N69" s="44"/>
      <c r="O69" s="44"/>
      <c r="P69" s="44"/>
      <c r="Q69" s="44"/>
      <c r="R69" s="44"/>
      <c r="S69" s="44"/>
      <c r="T69" s="44"/>
      <c r="U69" s="44"/>
      <c r="V69" s="44"/>
      <c r="W69" s="44"/>
      <c r="X69" s="44"/>
      <c r="Y69" s="44"/>
      <c r="Z69" s="44"/>
    </row>
    <row r="70" spans="1:26" ht="15" customHeight="1" x14ac:dyDescent="0.2">
      <c r="A70" s="44"/>
      <c r="B70" s="56" t="s">
        <v>1686</v>
      </c>
      <c r="C70" s="57"/>
      <c r="D70" s="1754" t="s">
        <v>1739</v>
      </c>
      <c r="E70" s="1755"/>
      <c r="F70" s="44"/>
      <c r="G70" s="44" t="s">
        <v>249</v>
      </c>
      <c r="H70" s="44"/>
      <c r="I70" s="44"/>
      <c r="J70" s="44"/>
      <c r="K70" s="44"/>
      <c r="L70" s="44"/>
      <c r="M70" s="44"/>
      <c r="N70" s="44"/>
      <c r="O70" s="44"/>
      <c r="P70" s="44"/>
      <c r="Q70" s="44"/>
      <c r="R70" s="44"/>
      <c r="S70" s="44"/>
      <c r="T70" s="44"/>
      <c r="U70" s="44"/>
      <c r="V70" s="44"/>
      <c r="W70" s="44"/>
      <c r="X70" s="44"/>
      <c r="Y70" s="44"/>
      <c r="Z70" s="44"/>
    </row>
    <row r="71" spans="1:26" ht="25.5" customHeight="1" x14ac:dyDescent="0.2">
      <c r="A71" s="44"/>
      <c r="B71" s="58" t="s">
        <v>1745</v>
      </c>
      <c r="C71" s="1728" t="s">
        <v>1895</v>
      </c>
      <c r="D71" s="1728"/>
      <c r="E71" s="1729"/>
      <c r="F71" s="44"/>
      <c r="G71" s="44" t="s">
        <v>296</v>
      </c>
      <c r="H71" s="44"/>
      <c r="I71" s="44"/>
      <c r="J71" s="44"/>
      <c r="K71" s="44"/>
      <c r="L71" s="44"/>
      <c r="M71" s="44"/>
      <c r="N71" s="44"/>
      <c r="O71" s="44"/>
      <c r="P71" s="44"/>
      <c r="Q71" s="44"/>
      <c r="R71" s="44"/>
      <c r="S71" s="44"/>
      <c r="T71" s="44"/>
      <c r="U71" s="44"/>
      <c r="V71" s="44"/>
      <c r="W71" s="44"/>
      <c r="X71" s="44"/>
      <c r="Y71" s="44"/>
      <c r="Z71" s="44"/>
    </row>
    <row r="72" spans="1:26" ht="15" customHeight="1" x14ac:dyDescent="0.2">
      <c r="A72" s="44"/>
      <c r="B72" s="52" t="s">
        <v>1682</v>
      </c>
      <c r="C72" s="53"/>
      <c r="D72" s="1730" t="s">
        <v>1746</v>
      </c>
      <c r="E72" s="1731"/>
      <c r="F72" s="44"/>
      <c r="G72" s="44" t="s">
        <v>320</v>
      </c>
      <c r="H72" s="44"/>
      <c r="I72" s="44"/>
      <c r="J72" s="44"/>
      <c r="K72" s="44"/>
      <c r="L72" s="44"/>
      <c r="M72" s="44"/>
      <c r="N72" s="44"/>
      <c r="O72" s="44"/>
      <c r="P72" s="44"/>
      <c r="Q72" s="44"/>
      <c r="R72" s="44"/>
      <c r="S72" s="44"/>
      <c r="T72" s="44"/>
      <c r="U72" s="44"/>
      <c r="V72" s="44"/>
      <c r="W72" s="44"/>
      <c r="X72" s="44"/>
      <c r="Y72" s="44"/>
      <c r="Z72" s="44"/>
    </row>
    <row r="73" spans="1:26" ht="15" customHeight="1" x14ac:dyDescent="0.2">
      <c r="A73" s="44"/>
      <c r="B73" s="54" t="s">
        <v>1684</v>
      </c>
      <c r="C73" s="55"/>
      <c r="D73" s="1721" t="s">
        <v>1747</v>
      </c>
      <c r="E73" s="1722"/>
      <c r="F73" s="44"/>
      <c r="G73" s="44" t="s">
        <v>312</v>
      </c>
      <c r="H73" s="44"/>
      <c r="I73" s="44"/>
      <c r="J73" s="44"/>
      <c r="K73" s="44"/>
      <c r="L73" s="44"/>
      <c r="M73" s="44"/>
      <c r="N73" s="44"/>
      <c r="O73" s="44"/>
      <c r="P73" s="44"/>
      <c r="Q73" s="44"/>
      <c r="R73" s="44"/>
      <c r="S73" s="44"/>
      <c r="T73" s="44"/>
      <c r="U73" s="44"/>
      <c r="V73" s="44"/>
      <c r="W73" s="44"/>
      <c r="X73" s="44"/>
      <c r="Y73" s="44"/>
      <c r="Z73" s="44"/>
    </row>
    <row r="74" spans="1:26" ht="15" customHeight="1" x14ac:dyDescent="0.2">
      <c r="A74" s="44"/>
      <c r="B74" s="54" t="s">
        <v>1686</v>
      </c>
      <c r="C74" s="55"/>
      <c r="D74" s="1721" t="s">
        <v>1748</v>
      </c>
      <c r="E74" s="1722"/>
      <c r="F74" s="44"/>
      <c r="G74" s="44" t="s">
        <v>314</v>
      </c>
      <c r="H74" s="44"/>
      <c r="I74" s="44"/>
      <c r="J74" s="44"/>
      <c r="K74" s="44"/>
      <c r="L74" s="44"/>
      <c r="M74" s="44"/>
      <c r="N74" s="44"/>
      <c r="O74" s="44"/>
      <c r="P74" s="44"/>
      <c r="Q74" s="44"/>
      <c r="R74" s="44"/>
      <c r="S74" s="44"/>
      <c r="T74" s="44"/>
      <c r="U74" s="44"/>
      <c r="V74" s="44"/>
      <c r="W74" s="44"/>
      <c r="X74" s="44"/>
      <c r="Y74" s="44"/>
      <c r="Z74" s="44"/>
    </row>
    <row r="75" spans="1:26" ht="15" customHeight="1" x14ac:dyDescent="0.2">
      <c r="A75" s="44"/>
      <c r="B75" s="56" t="s">
        <v>1688</v>
      </c>
      <c r="C75" s="57"/>
      <c r="D75" s="1754" t="s">
        <v>1739</v>
      </c>
      <c r="E75" s="1755"/>
      <c r="F75" s="44"/>
      <c r="G75" s="44" t="s">
        <v>326</v>
      </c>
      <c r="H75" s="44"/>
      <c r="I75" s="44"/>
      <c r="J75" s="44"/>
      <c r="K75" s="44"/>
      <c r="L75" s="44"/>
      <c r="M75" s="44"/>
      <c r="N75" s="44"/>
      <c r="O75" s="44"/>
      <c r="P75" s="44"/>
      <c r="Q75" s="44"/>
      <c r="R75" s="44"/>
      <c r="S75" s="44"/>
      <c r="T75" s="44"/>
      <c r="U75" s="44"/>
      <c r="V75" s="44"/>
      <c r="W75" s="44"/>
      <c r="X75" s="44"/>
      <c r="Y75" s="44"/>
      <c r="Z75" s="44"/>
    </row>
    <row r="76" spans="1:26" ht="26.25" customHeight="1" x14ac:dyDescent="0.2">
      <c r="A76" s="44"/>
      <c r="B76" s="58" t="s">
        <v>1749</v>
      </c>
      <c r="C76" s="1728" t="s">
        <v>1896</v>
      </c>
      <c r="D76" s="1728"/>
      <c r="E76" s="1729"/>
      <c r="F76" s="44"/>
      <c r="G76" s="44" t="s">
        <v>392</v>
      </c>
      <c r="H76" s="44"/>
      <c r="I76" s="44"/>
      <c r="J76" s="44"/>
      <c r="K76" s="44"/>
      <c r="L76" s="44"/>
      <c r="M76" s="44"/>
      <c r="N76" s="44"/>
      <c r="O76" s="44"/>
      <c r="P76" s="44"/>
      <c r="Q76" s="44"/>
      <c r="R76" s="44"/>
      <c r="S76" s="44"/>
      <c r="T76" s="44"/>
      <c r="U76" s="44"/>
      <c r="V76" s="44"/>
      <c r="W76" s="44"/>
      <c r="X76" s="44"/>
      <c r="Y76" s="44"/>
      <c r="Z76" s="44"/>
    </row>
    <row r="77" spans="1:26" ht="45" customHeight="1" x14ac:dyDescent="0.2">
      <c r="A77" s="44"/>
      <c r="B77" s="1756"/>
      <c r="C77" s="1757"/>
      <c r="D77" s="1757"/>
      <c r="E77" s="1758"/>
      <c r="F77" s="44"/>
      <c r="G77" s="44" t="s">
        <v>55</v>
      </c>
      <c r="H77" s="44"/>
      <c r="I77" s="44"/>
      <c r="J77" s="44"/>
      <c r="K77" s="44"/>
      <c r="L77" s="44"/>
      <c r="M77" s="44"/>
      <c r="N77" s="44"/>
      <c r="O77" s="44"/>
      <c r="P77" s="44"/>
      <c r="Q77" s="44"/>
      <c r="R77" s="44"/>
      <c r="S77" s="44"/>
      <c r="T77" s="44"/>
      <c r="U77" s="44"/>
      <c r="V77" s="44"/>
      <c r="W77" s="44"/>
      <c r="X77" s="44"/>
      <c r="Y77" s="44"/>
      <c r="Z77" s="44"/>
    </row>
    <row r="78" spans="1:26" x14ac:dyDescent="0.2">
      <c r="A78" s="44"/>
      <c r="B78" s="61"/>
      <c r="C78" s="61"/>
      <c r="D78" s="61"/>
      <c r="E78" s="61"/>
      <c r="F78" s="44"/>
      <c r="G78" s="44" t="s">
        <v>389</v>
      </c>
      <c r="H78" s="44"/>
      <c r="I78" s="44"/>
      <c r="J78" s="44"/>
      <c r="K78" s="44"/>
      <c r="L78" s="44"/>
      <c r="M78" s="44"/>
      <c r="N78" s="44"/>
      <c r="O78" s="44"/>
      <c r="P78" s="44"/>
      <c r="Q78" s="44"/>
      <c r="R78" s="44"/>
      <c r="S78" s="44"/>
      <c r="T78" s="44"/>
      <c r="U78" s="44"/>
      <c r="V78" s="44"/>
      <c r="W78" s="44"/>
      <c r="X78" s="44"/>
      <c r="Y78" s="44"/>
      <c r="Z78" s="44"/>
    </row>
    <row r="79" spans="1:26" ht="18.75" customHeight="1" x14ac:dyDescent="0.2">
      <c r="A79" s="44"/>
      <c r="B79" s="1759" t="s">
        <v>1899</v>
      </c>
      <c r="C79" s="1759"/>
      <c r="D79" s="1759"/>
      <c r="E79" s="1759"/>
      <c r="F79" s="44"/>
      <c r="G79" s="44" t="s">
        <v>396</v>
      </c>
      <c r="H79" s="44"/>
      <c r="I79" s="44"/>
      <c r="J79" s="44"/>
      <c r="K79" s="44"/>
      <c r="L79" s="44"/>
      <c r="M79" s="44"/>
      <c r="N79" s="44"/>
      <c r="O79" s="44"/>
      <c r="P79" s="44"/>
      <c r="Q79" s="44"/>
      <c r="R79" s="44"/>
      <c r="S79" s="44"/>
      <c r="T79" s="44"/>
      <c r="U79" s="44"/>
      <c r="V79" s="44"/>
      <c r="W79" s="44"/>
      <c r="X79" s="44"/>
      <c r="Y79" s="44"/>
      <c r="Z79" s="44"/>
    </row>
    <row r="80" spans="1:26" x14ac:dyDescent="0.2">
      <c r="A80" s="44"/>
      <c r="B80" s="44"/>
      <c r="C80" s="44"/>
      <c r="D80" s="44"/>
      <c r="E80" s="44"/>
      <c r="F80" s="44"/>
      <c r="G80" s="44" t="s">
        <v>625</v>
      </c>
      <c r="H80" s="44"/>
      <c r="I80" s="44"/>
      <c r="J80" s="44"/>
      <c r="K80" s="44"/>
      <c r="L80" s="44"/>
      <c r="M80" s="44"/>
      <c r="N80" s="44"/>
      <c r="O80" s="44"/>
      <c r="P80" s="44"/>
      <c r="Q80" s="44"/>
      <c r="R80" s="44"/>
      <c r="S80" s="44"/>
      <c r="T80" s="44"/>
      <c r="U80" s="44"/>
      <c r="V80" s="44"/>
      <c r="W80" s="44"/>
      <c r="X80" s="44"/>
      <c r="Y80" s="44"/>
      <c r="Z80" s="44"/>
    </row>
    <row r="81" spans="1:26" x14ac:dyDescent="0.2">
      <c r="A81" s="44"/>
      <c r="B81" s="44"/>
      <c r="C81" s="44"/>
      <c r="D81" s="44"/>
      <c r="E81" s="44"/>
      <c r="F81" s="44"/>
      <c r="G81" s="44" t="s">
        <v>406</v>
      </c>
      <c r="H81" s="44"/>
      <c r="I81" s="44"/>
      <c r="J81" s="44"/>
      <c r="K81" s="44"/>
      <c r="L81" s="44"/>
      <c r="M81" s="44"/>
      <c r="N81" s="44"/>
      <c r="O81" s="44"/>
      <c r="P81" s="44"/>
      <c r="Q81" s="44"/>
      <c r="R81" s="44"/>
      <c r="S81" s="44"/>
      <c r="T81" s="44"/>
      <c r="U81" s="44"/>
      <c r="V81" s="44"/>
      <c r="W81" s="44"/>
      <c r="X81" s="44"/>
      <c r="Y81" s="44"/>
      <c r="Z81" s="44"/>
    </row>
    <row r="82" spans="1:26" x14ac:dyDescent="0.2">
      <c r="A82" s="44"/>
      <c r="B82" s="44"/>
      <c r="C82" s="44"/>
      <c r="D82" s="44"/>
      <c r="E82" s="44"/>
      <c r="F82" s="44"/>
      <c r="G82" s="44" t="s">
        <v>121</v>
      </c>
      <c r="H82" s="44"/>
      <c r="I82" s="44"/>
      <c r="J82" s="44"/>
      <c r="K82" s="44"/>
      <c r="L82" s="44"/>
      <c r="M82" s="44"/>
      <c r="N82" s="44"/>
      <c r="O82" s="44"/>
      <c r="P82" s="44"/>
      <c r="Q82" s="44"/>
      <c r="R82" s="44"/>
      <c r="S82" s="44"/>
      <c r="T82" s="44"/>
      <c r="U82" s="44"/>
      <c r="V82" s="44"/>
      <c r="W82" s="44"/>
      <c r="X82" s="44"/>
      <c r="Y82" s="44"/>
      <c r="Z82" s="44"/>
    </row>
    <row r="83" spans="1:26" x14ac:dyDescent="0.2">
      <c r="A83" s="44"/>
      <c r="B83" s="44"/>
      <c r="C83" s="44"/>
      <c r="D83" s="44"/>
      <c r="E83" s="44"/>
      <c r="F83" s="44"/>
      <c r="G83" s="44" t="s">
        <v>1750</v>
      </c>
      <c r="H83" s="44"/>
      <c r="I83" s="44"/>
      <c r="J83" s="44"/>
      <c r="K83" s="44"/>
      <c r="L83" s="44"/>
      <c r="M83" s="44"/>
      <c r="N83" s="44"/>
      <c r="O83" s="44"/>
      <c r="P83" s="44"/>
      <c r="Q83" s="44"/>
      <c r="R83" s="44"/>
      <c r="S83" s="44"/>
      <c r="T83" s="44"/>
      <c r="U83" s="44"/>
      <c r="V83" s="44"/>
      <c r="W83" s="44"/>
      <c r="X83" s="44"/>
      <c r="Y83" s="44"/>
      <c r="Z83" s="44"/>
    </row>
    <row r="84" spans="1:26" x14ac:dyDescent="0.2">
      <c r="A84" s="44"/>
      <c r="B84" s="44"/>
      <c r="C84" s="44"/>
      <c r="D84" s="44"/>
      <c r="E84" s="44"/>
      <c r="F84" s="44"/>
      <c r="G84" s="44" t="s">
        <v>53</v>
      </c>
      <c r="H84" s="44"/>
      <c r="I84" s="44"/>
      <c r="J84" s="44"/>
      <c r="K84" s="44"/>
      <c r="L84" s="44"/>
      <c r="M84" s="44"/>
      <c r="N84" s="44"/>
      <c r="O84" s="44"/>
      <c r="P84" s="44"/>
      <c r="Q84" s="44"/>
      <c r="R84" s="44"/>
      <c r="S84" s="44"/>
      <c r="T84" s="44"/>
      <c r="U84" s="44"/>
      <c r="V84" s="44"/>
      <c r="W84" s="44"/>
      <c r="X84" s="44"/>
      <c r="Y84" s="44"/>
      <c r="Z84" s="44"/>
    </row>
    <row r="85" spans="1:26" x14ac:dyDescent="0.2">
      <c r="A85" s="44"/>
      <c r="B85" s="44"/>
      <c r="C85" s="44"/>
      <c r="D85" s="44"/>
      <c r="E85" s="44"/>
      <c r="F85" s="44"/>
      <c r="G85" s="44" t="s">
        <v>627</v>
      </c>
      <c r="H85" s="44"/>
      <c r="I85" s="44"/>
      <c r="J85" s="44"/>
      <c r="K85" s="44"/>
      <c r="L85" s="44"/>
      <c r="M85" s="44"/>
      <c r="N85" s="44"/>
      <c r="O85" s="44"/>
      <c r="P85" s="44"/>
      <c r="Q85" s="44"/>
      <c r="R85" s="44"/>
      <c r="S85" s="44"/>
      <c r="T85" s="44"/>
      <c r="U85" s="44"/>
      <c r="V85" s="44"/>
      <c r="W85" s="44"/>
      <c r="X85" s="44"/>
      <c r="Y85" s="44"/>
      <c r="Z85" s="44"/>
    </row>
    <row r="86" spans="1:26" x14ac:dyDescent="0.2">
      <c r="A86" s="44"/>
      <c r="B86" s="44"/>
      <c r="C86" s="44"/>
      <c r="D86" s="44"/>
      <c r="E86" s="44"/>
      <c r="F86" s="44"/>
      <c r="G86" s="44" t="s">
        <v>1751</v>
      </c>
      <c r="H86" s="44"/>
      <c r="I86" s="44"/>
      <c r="J86" s="44"/>
      <c r="K86" s="44"/>
      <c r="L86" s="44"/>
      <c r="M86" s="44"/>
      <c r="N86" s="44"/>
      <c r="O86" s="44"/>
      <c r="P86" s="44"/>
      <c r="Q86" s="44"/>
      <c r="R86" s="44"/>
      <c r="S86" s="44"/>
      <c r="T86" s="44"/>
      <c r="U86" s="44"/>
      <c r="V86" s="44"/>
      <c r="W86" s="44"/>
      <c r="X86" s="44"/>
      <c r="Y86" s="44"/>
      <c r="Z86" s="44"/>
    </row>
    <row r="87" spans="1:26" x14ac:dyDescent="0.2">
      <c r="A87" s="44"/>
      <c r="B87" s="44"/>
      <c r="C87" s="44"/>
      <c r="D87" s="44"/>
      <c r="E87" s="44"/>
      <c r="F87" s="44"/>
      <c r="G87" s="44" t="s">
        <v>58</v>
      </c>
      <c r="H87" s="44"/>
      <c r="I87" s="44"/>
      <c r="J87" s="44"/>
      <c r="K87" s="44"/>
      <c r="L87" s="44"/>
      <c r="M87" s="44"/>
      <c r="N87" s="44"/>
      <c r="O87" s="44"/>
      <c r="P87" s="44"/>
      <c r="Q87" s="44"/>
      <c r="R87" s="44"/>
      <c r="S87" s="44"/>
      <c r="T87" s="44"/>
      <c r="U87" s="44"/>
      <c r="V87" s="44"/>
      <c r="W87" s="44"/>
      <c r="X87" s="44"/>
      <c r="Y87" s="44"/>
      <c r="Z87" s="44"/>
    </row>
    <row r="88" spans="1:26" x14ac:dyDescent="0.2">
      <c r="A88" s="44"/>
      <c r="B88" s="44"/>
      <c r="C88" s="44"/>
      <c r="D88" s="44"/>
      <c r="E88" s="44"/>
      <c r="F88" s="44"/>
      <c r="G88" s="44" t="s">
        <v>629</v>
      </c>
      <c r="H88" s="44"/>
      <c r="I88" s="44"/>
      <c r="J88" s="44"/>
      <c r="K88" s="44"/>
      <c r="L88" s="44"/>
      <c r="M88" s="44"/>
      <c r="N88" s="44"/>
      <c r="O88" s="44"/>
      <c r="P88" s="44"/>
      <c r="Q88" s="44"/>
      <c r="R88" s="44"/>
      <c r="S88" s="44"/>
      <c r="T88" s="44"/>
      <c r="U88" s="44"/>
      <c r="V88" s="44"/>
      <c r="W88" s="44"/>
      <c r="X88" s="44"/>
      <c r="Y88" s="44"/>
      <c r="Z88" s="44"/>
    </row>
    <row r="89" spans="1:26" x14ac:dyDescent="0.2">
      <c r="G89" s="66" t="s">
        <v>427</v>
      </c>
    </row>
  </sheetData>
  <sheetProtection algorithmName="SHA-512" hashValue="Qm453guCc4ZMtps6It0TYA9Z+Sw/h2/dFwwM46J+SoC6lYe/9mV/lzUHVyatn/3x6WgWLFWagaJvAR8VtohUcw==" saltValue="8fbFWifsEKXgg4t02HhybA==" spinCount="100000"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40625" defaultRowHeight="15" x14ac:dyDescent="0.25"/>
  <cols>
    <col min="1" max="1" width="14.85546875" style="1005" customWidth="1"/>
    <col min="2" max="2" width="22.7109375" style="75" customWidth="1"/>
    <col min="3" max="3" width="22.28515625" style="75" customWidth="1"/>
    <col min="4" max="4" width="11" style="75" customWidth="1"/>
    <col min="5" max="5" width="10.140625" style="75" customWidth="1"/>
    <col min="6" max="6" width="10.28515625" style="75" customWidth="1"/>
    <col min="7" max="9" width="11.7109375" style="75" customWidth="1"/>
    <col min="10" max="10" width="8.28515625" style="75" customWidth="1"/>
    <col min="11" max="13" width="12.28515625" style="75" customWidth="1"/>
    <col min="14" max="14" width="16.42578125" style="75" customWidth="1"/>
    <col min="15" max="15" width="10.42578125" style="75" customWidth="1"/>
    <col min="16" max="16" width="11.28515625" style="75" customWidth="1"/>
    <col min="17" max="17" width="15.85546875" style="75" customWidth="1"/>
    <col min="18" max="18" width="12.5703125" style="75" customWidth="1"/>
    <col min="19" max="19" width="14.85546875" style="75" customWidth="1"/>
    <col min="20" max="20" width="15.140625" style="75" customWidth="1"/>
    <col min="21" max="21" width="12.42578125" style="75" customWidth="1"/>
    <col min="22" max="22" width="12.85546875" style="75" customWidth="1"/>
    <col min="23" max="23" width="11.42578125" style="75" customWidth="1"/>
    <col min="24" max="24" width="20.42578125" style="75" customWidth="1"/>
    <col min="25" max="25" width="14" style="75" customWidth="1"/>
    <col min="26" max="28" width="13" style="75" customWidth="1"/>
    <col min="29" max="29" width="14.7109375" style="75" customWidth="1"/>
    <col min="30" max="16384" width="9.140625" style="75"/>
  </cols>
  <sheetData>
    <row r="1" spans="1:46" ht="24.75" customHeight="1" x14ac:dyDescent="0.45">
      <c r="A1" s="1763"/>
      <c r="B1" s="1763"/>
      <c r="C1" s="1763"/>
      <c r="D1" s="1763"/>
      <c r="E1" s="1763"/>
      <c r="F1" s="1763"/>
      <c r="G1" s="1763"/>
      <c r="H1" s="1763"/>
      <c r="I1" s="1763"/>
      <c r="J1" s="1763"/>
      <c r="K1" s="1763"/>
      <c r="L1" s="1763"/>
      <c r="M1" s="1763"/>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25">
      <c r="A2" s="923" t="s">
        <v>610</v>
      </c>
      <c r="B2" s="924" t="str">
        <f>CONCATENATE('Ввод исходных данных'!D14,'Ввод исходных данных'!D19,'Ввод исходных данных'!D17)</f>
        <v>Нет в списке54</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25">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25">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25">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25">
      <c r="A6" s="936"/>
      <c r="B6" s="1760" t="s">
        <v>1398</v>
      </c>
      <c r="C6" s="1761"/>
      <c r="D6" s="1761"/>
      <c r="E6" s="1761"/>
      <c r="F6" s="1762"/>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25">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25">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25">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25">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25">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25">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25">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25">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25">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25">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25">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25">
      <c r="A18" s="961" t="s">
        <v>1943</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25">
      <c r="A19" s="961" t="s">
        <v>1944</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25">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25">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25">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25">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25">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25">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25">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25">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25">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25">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25">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25">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25">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25">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25">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25">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25">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25">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25">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25">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25">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25">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25">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25">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25">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25">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25">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25">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25">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25">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25">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25">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25">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25">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25">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25">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25">
      <c r="A58" s="991" t="s">
        <v>1943</v>
      </c>
      <c r="B58" s="984"/>
      <c r="C58" s="991" t="s">
        <v>1943</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25">
      <c r="A59" s="991" t="s">
        <v>1944</v>
      </c>
      <c r="B59" s="984"/>
      <c r="C59" s="991" t="s">
        <v>1944</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25">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25">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25">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25">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25">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25">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25">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25">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25">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25">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25">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25">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25">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25">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25">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25">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x14ac:dyDescent="0.25">
      <c r="A76" s="1003"/>
      <c r="B76" s="1003"/>
      <c r="C76" s="1003" t="str">
        <f>B2</f>
        <v>Нет в списке54</v>
      </c>
      <c r="D76" s="1003">
        <f>'Ввод исходных данных'!D19</f>
        <v>5</v>
      </c>
      <c r="E76" s="1003">
        <f>'Ввод исходных данных'!D17</f>
        <v>4</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14</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144</v>
      </c>
      <c r="AC76" s="74"/>
      <c r="AD76" s="74"/>
      <c r="AE76" s="74"/>
      <c r="AF76" s="74"/>
      <c r="AG76" s="74"/>
      <c r="AH76" s="74"/>
      <c r="AI76" s="74"/>
      <c r="AJ76" s="74"/>
      <c r="AK76" s="74"/>
      <c r="AL76" s="74"/>
      <c r="AM76" s="74"/>
      <c r="AN76" s="74"/>
      <c r="AO76" s="74"/>
      <c r="AP76" s="74"/>
      <c r="AQ76" s="74"/>
      <c r="AR76" s="74"/>
      <c r="AS76" s="74"/>
      <c r="AT76" s="74"/>
    </row>
    <row r="77" spans="1:46"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82" zoomScale="75" zoomScaleNormal="75" workbookViewId="0">
      <selection activeCell="C85" sqref="C85"/>
    </sheetView>
  </sheetViews>
  <sheetFormatPr defaultColWidth="9.140625" defaultRowHeight="15" x14ac:dyDescent="0.25"/>
  <cols>
    <col min="1" max="1" width="38.28515625" style="75" customWidth="1"/>
    <col min="2" max="2" width="11.5703125" style="75" customWidth="1"/>
    <col min="3" max="3" width="15.5703125" style="75" customWidth="1"/>
    <col min="4" max="4" width="13.140625" style="75" customWidth="1"/>
    <col min="5" max="5" width="15.140625" style="75" customWidth="1"/>
    <col min="6" max="6" width="13.7109375" style="75" customWidth="1"/>
    <col min="7" max="7" width="37.42578125" style="75" customWidth="1"/>
    <col min="8" max="8" width="10" style="75" customWidth="1"/>
    <col min="9" max="9" width="12.85546875" style="75" customWidth="1"/>
    <col min="10" max="10" width="13.42578125" style="75" customWidth="1"/>
    <col min="11" max="11" width="14.28515625" style="75" customWidth="1"/>
    <col min="12" max="12" width="12.28515625" style="75" customWidth="1"/>
    <col min="13" max="13" width="13.140625" style="75" customWidth="1"/>
    <col min="14" max="14" width="15.28515625" style="75" customWidth="1"/>
    <col min="15" max="15" width="12.7109375" style="75" customWidth="1"/>
    <col min="16" max="16" width="11.28515625" style="75" customWidth="1"/>
    <col min="17" max="17" width="15.5703125" style="75" customWidth="1"/>
    <col min="18" max="18" width="15.7109375" style="75" customWidth="1"/>
    <col min="19" max="19" width="11.7109375" style="75" customWidth="1"/>
    <col min="20" max="20" width="13.140625" style="75" customWidth="1"/>
    <col min="21" max="21" width="11.42578125" style="75" customWidth="1"/>
    <col min="22" max="22" width="12.42578125" style="75" customWidth="1"/>
    <col min="23" max="23" width="14.140625" style="75" customWidth="1"/>
    <col min="24" max="24" width="12.42578125" style="75" customWidth="1"/>
    <col min="25" max="25" width="12.5703125" style="75" customWidth="1"/>
    <col min="26" max="26" width="16" style="75" customWidth="1"/>
    <col min="27" max="27" width="11.5703125" style="75" customWidth="1"/>
    <col min="28" max="28" width="13.42578125" style="75" customWidth="1"/>
    <col min="29" max="29" width="15.28515625" style="75" customWidth="1"/>
    <col min="30" max="30" width="12.42578125" style="75" customWidth="1"/>
    <col min="31" max="31" width="14.140625" style="75" customWidth="1"/>
    <col min="32" max="32" width="14.85546875" style="75" customWidth="1"/>
    <col min="33" max="33" width="12" style="75" customWidth="1"/>
    <col min="34" max="34" width="13.42578125" style="75" customWidth="1"/>
    <col min="35" max="35" width="14.85546875" style="75" customWidth="1"/>
    <col min="36" max="36" width="11.7109375" style="75" customWidth="1"/>
    <col min="37" max="37" width="12.5703125" style="75" customWidth="1"/>
    <col min="38" max="38" width="16" style="75" customWidth="1"/>
    <col min="39" max="39" width="12.7109375" style="75" customWidth="1"/>
    <col min="40" max="40" width="12.42578125" style="75" customWidth="1"/>
    <col min="41" max="41" width="13.85546875" style="75" customWidth="1"/>
    <col min="42" max="42" width="12.5703125" style="75" customWidth="1"/>
    <col min="43" max="44" width="13.28515625" style="75" customWidth="1"/>
    <col min="45" max="45" width="9.140625" style="75"/>
    <col min="46" max="46" width="12.140625" style="75" customWidth="1"/>
    <col min="47" max="16384" width="9.140625" style="75"/>
  </cols>
  <sheetData>
    <row r="1" spans="1:6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
      <c r="A3" s="1788" t="s">
        <v>1172</v>
      </c>
      <c r="B3" s="1788"/>
      <c r="C3" s="1788"/>
      <c r="D3" s="1788"/>
      <c r="E3" s="1788"/>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25">
      <c r="A4" s="1792" t="s">
        <v>834</v>
      </c>
      <c r="B4" s="1778" t="s">
        <v>1174</v>
      </c>
      <c r="C4" s="1794" t="s">
        <v>1175</v>
      </c>
      <c r="D4" s="1774" t="s">
        <v>1176</v>
      </c>
      <c r="E4" s="1772" t="s">
        <v>1177</v>
      </c>
      <c r="F4" s="74"/>
      <c r="G4" s="1781" t="s">
        <v>834</v>
      </c>
      <c r="H4" s="1786" t="s">
        <v>1174</v>
      </c>
      <c r="I4" s="1789" t="s">
        <v>488</v>
      </c>
      <c r="J4" s="1790"/>
      <c r="K4" s="1791"/>
      <c r="L4" s="1789" t="s">
        <v>489</v>
      </c>
      <c r="M4" s="1790"/>
      <c r="N4" s="1791"/>
      <c r="O4" s="1789" t="s">
        <v>490</v>
      </c>
      <c r="P4" s="1790"/>
      <c r="Q4" s="1791"/>
      <c r="R4" s="1789" t="s">
        <v>491</v>
      </c>
      <c r="S4" s="1790"/>
      <c r="T4" s="1791"/>
      <c r="U4" s="1789" t="s">
        <v>805</v>
      </c>
      <c r="V4" s="1790"/>
      <c r="W4" s="1791"/>
      <c r="X4" s="1789" t="s">
        <v>806</v>
      </c>
      <c r="Y4" s="1790"/>
      <c r="Z4" s="1791"/>
      <c r="AA4" s="1789" t="s">
        <v>807</v>
      </c>
      <c r="AB4" s="1790"/>
      <c r="AC4" s="1791"/>
      <c r="AD4" s="1789" t="s">
        <v>808</v>
      </c>
      <c r="AE4" s="1790"/>
      <c r="AF4" s="1791"/>
      <c r="AG4" s="1789" t="s">
        <v>809</v>
      </c>
      <c r="AH4" s="1790"/>
      <c r="AI4" s="1791"/>
      <c r="AJ4" s="1789" t="s">
        <v>482</v>
      </c>
      <c r="AK4" s="1790"/>
      <c r="AL4" s="1791"/>
      <c r="AM4" s="1789" t="s">
        <v>486</v>
      </c>
      <c r="AN4" s="1790"/>
      <c r="AO4" s="1791"/>
      <c r="AP4" s="1796" t="s">
        <v>487</v>
      </c>
      <c r="AQ4" s="1797"/>
      <c r="AR4" s="1797"/>
      <c r="AS4" s="74"/>
      <c r="AT4" s="74"/>
      <c r="AU4" s="74"/>
      <c r="AV4" s="74"/>
      <c r="AW4" s="74"/>
      <c r="AX4" s="74"/>
      <c r="AY4" s="74"/>
      <c r="AZ4" s="74"/>
      <c r="BA4" s="74"/>
      <c r="BB4" s="74"/>
      <c r="BC4" s="74"/>
      <c r="BD4" s="74"/>
      <c r="BE4" s="74"/>
      <c r="BF4" s="74"/>
      <c r="BG4" s="74"/>
      <c r="BH4" s="74"/>
      <c r="BI4" s="74"/>
      <c r="BJ4" s="74"/>
      <c r="BK4" s="74"/>
      <c r="BL4" s="74"/>
      <c r="BM4" s="74"/>
      <c r="BN4" s="74"/>
      <c r="BO4" s="74"/>
    </row>
    <row r="5" spans="1:67" ht="72.95" customHeight="1" thickBot="1" x14ac:dyDescent="0.3">
      <c r="A5" s="1793"/>
      <c r="B5" s="1779"/>
      <c r="C5" s="1795"/>
      <c r="D5" s="1775"/>
      <c r="E5" s="1773"/>
      <c r="F5" s="74"/>
      <c r="G5" s="1782"/>
      <c r="H5" s="1787"/>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25">
      <c r="A6" s="522" t="s">
        <v>1178</v>
      </c>
      <c r="B6" s="523" t="s">
        <v>842</v>
      </c>
      <c r="C6" s="524">
        <f>C12+C15+C18</f>
        <v>692658.79280705494</v>
      </c>
      <c r="D6" s="525">
        <f>D12+D15+D18</f>
        <v>753352.02745085466</v>
      </c>
      <c r="E6" s="526">
        <f>E12+E15+E18</f>
        <v>796999.63520609098</v>
      </c>
      <c r="F6" s="74"/>
      <c r="G6" s="527" t="s">
        <v>1178</v>
      </c>
      <c r="H6" s="528" t="s">
        <v>842</v>
      </c>
      <c r="I6" s="327">
        <f>I12+I15+I18</f>
        <v>113709.66255416293</v>
      </c>
      <c r="J6" s="529">
        <f t="shared" ref="J6" si="0">J12+J15+J18</f>
        <v>111002.61025</v>
      </c>
      <c r="K6" s="530">
        <f t="shared" ref="K6" si="1">K12+K15+K18</f>
        <v>118397.68555934151</v>
      </c>
      <c r="L6" s="327">
        <f>L12+L15+L18</f>
        <v>98796.662004817874</v>
      </c>
      <c r="M6" s="529">
        <f t="shared" ref="M6:N6" si="2">M12+M15+M18</f>
        <v>109330.5</v>
      </c>
      <c r="N6" s="530">
        <f t="shared" si="2"/>
        <v>118564.07283142389</v>
      </c>
      <c r="O6" s="531">
        <f>O12+O15+O18</f>
        <v>87345.790648623748</v>
      </c>
      <c r="P6" s="532">
        <f t="shared" ref="P6:Q6" si="3">P12+P15+P18</f>
        <v>74569.337499999994</v>
      </c>
      <c r="Q6" s="533">
        <f t="shared" si="3"/>
        <v>82334.322472091037</v>
      </c>
      <c r="R6" s="327">
        <f>R12+R15+R18</f>
        <v>54265.430846518349</v>
      </c>
      <c r="S6" s="529">
        <f t="shared" ref="S6:T6" si="4">S12+S15+S18</f>
        <v>74540.306249999994</v>
      </c>
      <c r="T6" s="530">
        <f t="shared" si="4"/>
        <v>128367.06326643488</v>
      </c>
      <c r="U6" s="531">
        <f>U12+U15+U18</f>
        <v>11816.71577999629</v>
      </c>
      <c r="V6" s="532">
        <f t="shared" ref="V6:W6" si="5">V12+V15+V18</f>
        <v>59413.912499999999</v>
      </c>
      <c r="W6" s="533">
        <f t="shared" si="5"/>
        <v>24857.026380368101</v>
      </c>
      <c r="X6" s="327">
        <f>X12+X15+X18</f>
        <v>16243.597879684419</v>
      </c>
      <c r="Y6" s="529">
        <f t="shared" ref="Y6:Z6" si="6">Y12+Y15+Y18</f>
        <v>472</v>
      </c>
      <c r="Z6" s="530">
        <f t="shared" si="6"/>
        <v>13555.75</v>
      </c>
      <c r="AA6" s="531">
        <f>AA12+AA15+AA18</f>
        <v>10870.727687376724</v>
      </c>
      <c r="AB6" s="532">
        <f t="shared" ref="AB6:AC6" si="7">AB12+AB15+AB18</f>
        <v>490</v>
      </c>
      <c r="AC6" s="533">
        <f t="shared" si="7"/>
        <v>13573.75</v>
      </c>
      <c r="AD6" s="327">
        <f>AD12+AD15+AD18</f>
        <v>16656.895586785009</v>
      </c>
      <c r="AE6" s="529">
        <f t="shared" ref="AE6:AF6" si="8">AE12+AE15+AE18</f>
        <v>655</v>
      </c>
      <c r="AF6" s="530">
        <f t="shared" si="8"/>
        <v>13738.75</v>
      </c>
      <c r="AG6" s="327">
        <f>AG12+AG15+AG18</f>
        <v>22352.927901956187</v>
      </c>
      <c r="AH6" s="529">
        <f t="shared" ref="AH6:AI6" si="9">AH12+AH15+AH18</f>
        <v>14813.75</v>
      </c>
      <c r="AI6" s="530">
        <f t="shared" si="9"/>
        <v>13650.75</v>
      </c>
      <c r="AJ6" s="327">
        <f>AJ12+AJ15+AJ18</f>
        <v>55447.812666334175</v>
      </c>
      <c r="AK6" s="529">
        <f t="shared" ref="AK6:AL6" si="10">AK12+AK15+AK18</f>
        <v>67501.350000000006</v>
      </c>
      <c r="AL6" s="530">
        <f t="shared" si="10"/>
        <v>59052.880487593269</v>
      </c>
      <c r="AM6" s="327">
        <f>AM12+AM15+AM18</f>
        <v>81785.529102391083</v>
      </c>
      <c r="AN6" s="529">
        <f t="shared" ref="AN6:AO6" si="11">AN12+AN15+AN18</f>
        <v>97513.65</v>
      </c>
      <c r="AO6" s="530">
        <f t="shared" si="11"/>
        <v>83107.816062176164</v>
      </c>
      <c r="AP6" s="534">
        <f>AP12+AP15+AP18</f>
        <v>105415.41071871239</v>
      </c>
      <c r="AQ6" s="535">
        <f t="shared" ref="AQ6:AR6" si="12">AQ12+AQ15+AQ18</f>
        <v>101809.58125000002</v>
      </c>
      <c r="AR6" s="535">
        <f t="shared" si="12"/>
        <v>113213.30939788977</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25">
      <c r="A7" s="358" t="s">
        <v>874</v>
      </c>
      <c r="B7" s="359" t="s">
        <v>1180</v>
      </c>
      <c r="C7" s="536">
        <f>C6*0.123/1000</f>
        <v>85.197031515267753</v>
      </c>
      <c r="D7" s="537">
        <f>D6*0.123/1000</f>
        <v>92.662299376455124</v>
      </c>
      <c r="E7" s="538">
        <f>E6*0.123/1000</f>
        <v>98.030955130349184</v>
      </c>
      <c r="F7" s="74"/>
      <c r="G7" s="539" t="s">
        <v>874</v>
      </c>
      <c r="H7" s="540" t="s">
        <v>1180</v>
      </c>
      <c r="I7" s="536">
        <f t="shared" ref="I7:AR7" si="13">I6*0.123/1000</f>
        <v>13.986288494162041</v>
      </c>
      <c r="J7" s="537">
        <f t="shared" si="13"/>
        <v>13.653321060749999</v>
      </c>
      <c r="K7" s="538">
        <f t="shared" si="13"/>
        <v>14.562915323799006</v>
      </c>
      <c r="L7" s="536">
        <f t="shared" si="13"/>
        <v>12.151989426592598</v>
      </c>
      <c r="M7" s="537">
        <f t="shared" si="13"/>
        <v>13.447651499999999</v>
      </c>
      <c r="N7" s="538">
        <f t="shared" si="13"/>
        <v>14.58338095826514</v>
      </c>
      <c r="O7" s="536">
        <f t="shared" si="13"/>
        <v>10.743532249780721</v>
      </c>
      <c r="P7" s="537">
        <f t="shared" si="13"/>
        <v>9.172028512499999</v>
      </c>
      <c r="Q7" s="538">
        <f t="shared" si="13"/>
        <v>10.127121664067197</v>
      </c>
      <c r="R7" s="536">
        <f t="shared" si="13"/>
        <v>6.6746479941217567</v>
      </c>
      <c r="S7" s="537">
        <f t="shared" si="13"/>
        <v>9.1684576687499995</v>
      </c>
      <c r="T7" s="538">
        <f t="shared" si="13"/>
        <v>15.789148781771489</v>
      </c>
      <c r="U7" s="536">
        <f t="shared" si="13"/>
        <v>1.4534560409395436</v>
      </c>
      <c r="V7" s="537">
        <f t="shared" si="13"/>
        <v>7.3079112374999999</v>
      </c>
      <c r="W7" s="538">
        <f t="shared" si="13"/>
        <v>3.0574142447852766</v>
      </c>
      <c r="X7" s="536">
        <f t="shared" si="13"/>
        <v>1.9979625392011835</v>
      </c>
      <c r="Y7" s="537">
        <f t="shared" si="13"/>
        <v>5.8055999999999996E-2</v>
      </c>
      <c r="Z7" s="538">
        <f t="shared" si="13"/>
        <v>1.66735725</v>
      </c>
      <c r="AA7" s="536">
        <f t="shared" si="13"/>
        <v>1.3370995055473369</v>
      </c>
      <c r="AB7" s="537">
        <f t="shared" si="13"/>
        <v>6.0269999999999997E-2</v>
      </c>
      <c r="AC7" s="541">
        <f t="shared" si="13"/>
        <v>1.66957125</v>
      </c>
      <c r="AD7" s="536">
        <f t="shared" si="13"/>
        <v>2.0487981571745562</v>
      </c>
      <c r="AE7" s="537">
        <f t="shared" si="13"/>
        <v>8.0564999999999998E-2</v>
      </c>
      <c r="AF7" s="538">
        <f t="shared" si="13"/>
        <v>1.6898662500000001</v>
      </c>
      <c r="AG7" s="536">
        <f t="shared" si="13"/>
        <v>2.749410131940611</v>
      </c>
      <c r="AH7" s="537">
        <f t="shared" si="13"/>
        <v>1.8220912499999999</v>
      </c>
      <c r="AI7" s="538">
        <f t="shared" si="13"/>
        <v>1.67904225</v>
      </c>
      <c r="AJ7" s="536">
        <f t="shared" si="13"/>
        <v>6.8200809579591031</v>
      </c>
      <c r="AK7" s="537">
        <f t="shared" si="13"/>
        <v>8.3026660499999991</v>
      </c>
      <c r="AL7" s="538">
        <f t="shared" si="13"/>
        <v>7.2635042999739721</v>
      </c>
      <c r="AM7" s="536">
        <f t="shared" si="13"/>
        <v>10.059620079594103</v>
      </c>
      <c r="AN7" s="537">
        <f t="shared" si="13"/>
        <v>11.99417895</v>
      </c>
      <c r="AO7" s="538">
        <f t="shared" si="13"/>
        <v>10.222261375647667</v>
      </c>
      <c r="AP7" s="542">
        <f t="shared" si="13"/>
        <v>12.966095518401623</v>
      </c>
      <c r="AQ7" s="537">
        <f t="shared" si="13"/>
        <v>12.522578493750002</v>
      </c>
      <c r="AR7" s="538">
        <f t="shared" si="13"/>
        <v>13.925237055940441</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
      <c r="A8" s="385" t="s">
        <v>874</v>
      </c>
      <c r="B8" s="386" t="s">
        <v>1181</v>
      </c>
      <c r="C8" s="543">
        <f>C14+C17+C19</f>
        <v>0.99999999999999989</v>
      </c>
      <c r="D8" s="543">
        <f t="shared" ref="D8" si="14">D14+D17+D19</f>
        <v>1</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25">
      <c r="A9" s="554" t="s">
        <v>1347</v>
      </c>
      <c r="B9" s="523" t="s">
        <v>842</v>
      </c>
      <c r="C9" s="555">
        <f>C12+C15</f>
        <v>646522.79280705494</v>
      </c>
      <c r="D9" s="525">
        <f>D12+D15</f>
        <v>745551.95745085471</v>
      </c>
      <c r="E9" s="556">
        <f>E12+E15</f>
        <v>789199.56520609104</v>
      </c>
      <c r="F9" s="456"/>
      <c r="G9" s="557" t="s">
        <v>1183</v>
      </c>
      <c r="H9" s="528" t="s">
        <v>842</v>
      </c>
      <c r="I9" s="327">
        <f t="shared" ref="I9:AR9" si="16">I12+I15</f>
        <v>109864.99588749626</v>
      </c>
      <c r="J9" s="529">
        <f t="shared" si="16"/>
        <v>110062.54024999999</v>
      </c>
      <c r="K9" s="530">
        <f t="shared" si="16"/>
        <v>117457.6155593415</v>
      </c>
      <c r="L9" s="327">
        <f t="shared" si="16"/>
        <v>94951.995338151202</v>
      </c>
      <c r="M9" s="529">
        <f t="shared" si="16"/>
        <v>108740.5</v>
      </c>
      <c r="N9" s="530">
        <f t="shared" si="16"/>
        <v>117974.07283142389</v>
      </c>
      <c r="O9" s="327">
        <f t="shared" si="16"/>
        <v>83501.123981957076</v>
      </c>
      <c r="P9" s="529">
        <f t="shared" si="16"/>
        <v>73981.337499999994</v>
      </c>
      <c r="Q9" s="530">
        <f t="shared" si="16"/>
        <v>81746.322472091037</v>
      </c>
      <c r="R9" s="327">
        <f t="shared" si="16"/>
        <v>50420.764179851685</v>
      </c>
      <c r="S9" s="529">
        <f t="shared" si="16"/>
        <v>73872.306249999994</v>
      </c>
      <c r="T9" s="530">
        <f t="shared" si="16"/>
        <v>127699.06326643488</v>
      </c>
      <c r="U9" s="327">
        <f t="shared" si="16"/>
        <v>7972.0491133296237</v>
      </c>
      <c r="V9" s="529">
        <f t="shared" si="16"/>
        <v>58309.912499999999</v>
      </c>
      <c r="W9" s="530">
        <f t="shared" si="16"/>
        <v>23753.026380368101</v>
      </c>
      <c r="X9" s="327">
        <f t="shared" si="16"/>
        <v>12398.931213017753</v>
      </c>
      <c r="Y9" s="529">
        <f t="shared" si="16"/>
        <v>0</v>
      </c>
      <c r="Z9" s="530">
        <f t="shared" si="16"/>
        <v>13083.75</v>
      </c>
      <c r="AA9" s="327">
        <f t="shared" si="16"/>
        <v>7026.0610207100581</v>
      </c>
      <c r="AB9" s="529">
        <f t="shared" si="16"/>
        <v>0</v>
      </c>
      <c r="AC9" s="530">
        <f t="shared" si="16"/>
        <v>13083.75</v>
      </c>
      <c r="AD9" s="327">
        <f t="shared" si="16"/>
        <v>12812.228920118343</v>
      </c>
      <c r="AE9" s="529">
        <f t="shared" si="16"/>
        <v>0</v>
      </c>
      <c r="AF9" s="530">
        <f t="shared" si="16"/>
        <v>13083.75</v>
      </c>
      <c r="AG9" s="327">
        <f t="shared" si="16"/>
        <v>18508.261235289519</v>
      </c>
      <c r="AH9" s="529">
        <f t="shared" si="16"/>
        <v>14246.75</v>
      </c>
      <c r="AI9" s="530">
        <f t="shared" si="16"/>
        <v>13083.75</v>
      </c>
      <c r="AJ9" s="327">
        <f t="shared" si="16"/>
        <v>51603.145999667511</v>
      </c>
      <c r="AK9" s="529">
        <f t="shared" si="16"/>
        <v>66814.350000000006</v>
      </c>
      <c r="AL9" s="530">
        <f t="shared" si="16"/>
        <v>58365.880487593269</v>
      </c>
      <c r="AM9" s="327">
        <f t="shared" si="16"/>
        <v>77940.862435724412</v>
      </c>
      <c r="AN9" s="529">
        <f t="shared" si="16"/>
        <v>97168.65</v>
      </c>
      <c r="AO9" s="530">
        <f t="shared" si="16"/>
        <v>82762.816062176164</v>
      </c>
      <c r="AP9" s="534">
        <f t="shared" si="16"/>
        <v>101570.74405204572</v>
      </c>
      <c r="AQ9" s="535">
        <f t="shared" si="16"/>
        <v>101115.58125000002</v>
      </c>
      <c r="AR9" s="535">
        <f t="shared" si="16"/>
        <v>112519.30939788977</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25">
      <c r="A10" s="358" t="s">
        <v>874</v>
      </c>
      <c r="B10" s="359" t="s">
        <v>1184</v>
      </c>
      <c r="C10" s="558">
        <f>C9*0.86/1000</f>
        <v>556.0096018140672</v>
      </c>
      <c r="D10" s="559">
        <f>D9*0.86/1000</f>
        <v>641.17468340773507</v>
      </c>
      <c r="E10" s="560">
        <f>E9*0.86/1000</f>
        <v>678.71162607723829</v>
      </c>
      <c r="F10" s="74">
        <f>C10/'Ввод исходных данных'!$G$45</f>
        <v>0.21550759760235164</v>
      </c>
      <c r="G10" s="539" t="s">
        <v>874</v>
      </c>
      <c r="H10" s="540" t="s">
        <v>1184</v>
      </c>
      <c r="I10" s="561">
        <f t="shared" ref="I10:AR10" si="17">I9*0.86/1000</f>
        <v>94.483896463246779</v>
      </c>
      <c r="J10" s="286">
        <f t="shared" si="17"/>
        <v>94.653784614999992</v>
      </c>
      <c r="K10" s="562">
        <f t="shared" si="17"/>
        <v>101.0135493810337</v>
      </c>
      <c r="L10" s="561">
        <f t="shared" si="17"/>
        <v>81.658715990810023</v>
      </c>
      <c r="M10" s="286">
        <f t="shared" si="17"/>
        <v>93.516829999999999</v>
      </c>
      <c r="N10" s="562">
        <f t="shared" si="17"/>
        <v>101.45770263502455</v>
      </c>
      <c r="O10" s="561">
        <f t="shared" si="17"/>
        <v>71.810966624483086</v>
      </c>
      <c r="P10" s="286">
        <f t="shared" si="17"/>
        <v>63.623950249999993</v>
      </c>
      <c r="Q10" s="562">
        <f t="shared" si="17"/>
        <v>70.301837325998292</v>
      </c>
      <c r="R10" s="561">
        <f t="shared" si="17"/>
        <v>43.361857194672446</v>
      </c>
      <c r="S10" s="286">
        <f t="shared" si="17"/>
        <v>63.530183374999993</v>
      </c>
      <c r="T10" s="562">
        <f t="shared" si="17"/>
        <v>109.82119440913399</v>
      </c>
      <c r="U10" s="561">
        <f t="shared" si="17"/>
        <v>6.8559622374634763</v>
      </c>
      <c r="V10" s="286">
        <f t="shared" si="17"/>
        <v>50.146524749999998</v>
      </c>
      <c r="W10" s="562">
        <f t="shared" si="17"/>
        <v>20.427602687116568</v>
      </c>
      <c r="X10" s="561">
        <f t="shared" si="17"/>
        <v>10.663080843195269</v>
      </c>
      <c r="Y10" s="286">
        <f t="shared" si="17"/>
        <v>0</v>
      </c>
      <c r="Z10" s="562">
        <f t="shared" si="17"/>
        <v>11.252025</v>
      </c>
      <c r="AA10" s="561">
        <f t="shared" si="17"/>
        <v>6.0424124778106494</v>
      </c>
      <c r="AB10" s="286">
        <f t="shared" si="17"/>
        <v>0</v>
      </c>
      <c r="AC10" s="562">
        <f t="shared" si="17"/>
        <v>11.252025</v>
      </c>
      <c r="AD10" s="561">
        <f t="shared" si="17"/>
        <v>11.018516871301776</v>
      </c>
      <c r="AE10" s="286">
        <f t="shared" si="17"/>
        <v>0</v>
      </c>
      <c r="AF10" s="562">
        <f t="shared" si="17"/>
        <v>11.252025</v>
      </c>
      <c r="AG10" s="561">
        <f t="shared" si="17"/>
        <v>15.917104662348986</v>
      </c>
      <c r="AH10" s="286">
        <f t="shared" si="17"/>
        <v>12.252205</v>
      </c>
      <c r="AI10" s="562">
        <f t="shared" si="17"/>
        <v>11.252025</v>
      </c>
      <c r="AJ10" s="561">
        <f t="shared" si="17"/>
        <v>44.378705559714057</v>
      </c>
      <c r="AK10" s="286">
        <f t="shared" si="17"/>
        <v>57.460341000000007</v>
      </c>
      <c r="AL10" s="562">
        <f t="shared" si="17"/>
        <v>50.19465721933021</v>
      </c>
      <c r="AM10" s="561">
        <f t="shared" si="17"/>
        <v>67.029141694722995</v>
      </c>
      <c r="AN10" s="286">
        <f t="shared" si="17"/>
        <v>83.565038999999985</v>
      </c>
      <c r="AO10" s="562">
        <f t="shared" si="17"/>
        <v>71.176021813471493</v>
      </c>
      <c r="AP10" s="563">
        <f t="shared" si="17"/>
        <v>87.350839884759324</v>
      </c>
      <c r="AQ10" s="286">
        <f t="shared" si="17"/>
        <v>86.959399875000017</v>
      </c>
      <c r="AR10" s="286">
        <f t="shared" si="17"/>
        <v>96.766606082185206</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25">
      <c r="A11" s="358" t="s">
        <v>874</v>
      </c>
      <c r="B11" s="359" t="s">
        <v>1181</v>
      </c>
      <c r="C11" s="564">
        <f>C9/$C$6</f>
        <v>0.93339289058465547</v>
      </c>
      <c r="D11" s="565">
        <f>D9/$D$6</f>
        <v>0.98964618171083529</v>
      </c>
      <c r="E11" s="566"/>
      <c r="F11" s="74">
        <f>E10/'Ввод исходных данных'!$G$45</f>
        <v>0.26306652173536366</v>
      </c>
      <c r="G11" s="539"/>
      <c r="H11" s="540"/>
      <c r="I11" s="567">
        <f t="shared" ref="I11:AR11" si="18">I9/I$6</f>
        <v>0.9661887426247936</v>
      </c>
      <c r="J11" s="553">
        <f t="shared" si="18"/>
        <v>0.99153110005356826</v>
      </c>
      <c r="K11" s="568">
        <f t="shared" si="18"/>
        <v>0.99206006438758598</v>
      </c>
      <c r="L11" s="567">
        <f t="shared" si="18"/>
        <v>0.9610850550145188</v>
      </c>
      <c r="M11" s="553">
        <f t="shared" si="18"/>
        <v>0.99460351868874652</v>
      </c>
      <c r="N11" s="568">
        <f t="shared" si="18"/>
        <v>0.99502378767943578</v>
      </c>
      <c r="O11" s="567">
        <f t="shared" si="18"/>
        <v>0.95598337781229703</v>
      </c>
      <c r="P11" s="553">
        <f t="shared" si="18"/>
        <v>0.99211472141615853</v>
      </c>
      <c r="Q11" s="568">
        <f t="shared" si="18"/>
        <v>0.99285838539329307</v>
      </c>
      <c r="R11" s="567">
        <f t="shared" si="18"/>
        <v>0.92915072069471394</v>
      </c>
      <c r="S11" s="553">
        <f t="shared" si="18"/>
        <v>0.99103840548012234</v>
      </c>
      <c r="T11" s="568">
        <f t="shared" si="18"/>
        <v>0.9947961729200463</v>
      </c>
      <c r="U11" s="567">
        <f t="shared" si="18"/>
        <v>0.67464169078391145</v>
      </c>
      <c r="V11" s="553">
        <f t="shared" si="18"/>
        <v>0.98141849352203492</v>
      </c>
      <c r="W11" s="568">
        <f t="shared" si="18"/>
        <v>0.95558599877932582</v>
      </c>
      <c r="X11" s="567">
        <f t="shared" si="18"/>
        <v>0.76331187861556693</v>
      </c>
      <c r="Y11" s="553">
        <f t="shared" si="18"/>
        <v>0</v>
      </c>
      <c r="Z11" s="568">
        <f t="shared" si="18"/>
        <v>0.96518082732419819</v>
      </c>
      <c r="AA11" s="567">
        <f t="shared" si="18"/>
        <v>0.64632849085796173</v>
      </c>
      <c r="AB11" s="553">
        <f t="shared" si="18"/>
        <v>0</v>
      </c>
      <c r="AC11" s="568">
        <f t="shared" si="18"/>
        <v>0.96390091168615899</v>
      </c>
      <c r="AD11" s="567">
        <f t="shared" si="18"/>
        <v>0.76918468110486993</v>
      </c>
      <c r="AE11" s="553">
        <f t="shared" si="18"/>
        <v>0</v>
      </c>
      <c r="AF11" s="568">
        <f t="shared" si="18"/>
        <v>0.95232462924210715</v>
      </c>
      <c r="AG11" s="567">
        <f t="shared" si="18"/>
        <v>0.828001652243051</v>
      </c>
      <c r="AH11" s="553">
        <f t="shared" si="18"/>
        <v>0.96172474896633198</v>
      </c>
      <c r="AI11" s="568">
        <f t="shared" si="18"/>
        <v>0.958463820669194</v>
      </c>
      <c r="AJ11" s="567">
        <f t="shared" si="18"/>
        <v>0.93066152690634452</v>
      </c>
      <c r="AK11" s="553">
        <f t="shared" si="18"/>
        <v>0.98982242577370672</v>
      </c>
      <c r="AL11" s="568">
        <f t="shared" si="18"/>
        <v>0.98836635919657911</v>
      </c>
      <c r="AM11" s="567">
        <f t="shared" si="18"/>
        <v>0.95299086881429407</v>
      </c>
      <c r="AN11" s="553">
        <f t="shared" si="18"/>
        <v>0.99646203377680975</v>
      </c>
      <c r="AO11" s="568">
        <f t="shared" si="18"/>
        <v>0.99584876590016647</v>
      </c>
      <c r="AP11" s="552">
        <f t="shared" si="18"/>
        <v>0.96352841922775712</v>
      </c>
      <c r="AQ11" s="553">
        <f t="shared" si="18"/>
        <v>0.99318335277015002</v>
      </c>
      <c r="AR11" s="553">
        <f t="shared" si="18"/>
        <v>0.99386997868279847</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25">
      <c r="A12" s="569" t="s">
        <v>1185</v>
      </c>
      <c r="B12" s="570" t="s">
        <v>842</v>
      </c>
      <c r="C12" s="571">
        <f>C35</f>
        <v>464906.51396090107</v>
      </c>
      <c r="D12" s="572">
        <f>D35</f>
        <v>556661.80900000001</v>
      </c>
      <c r="E12" s="573">
        <f>E35</f>
        <v>600309.41675523634</v>
      </c>
      <c r="F12" s="74"/>
      <c r="G12" s="574" t="s">
        <v>1185</v>
      </c>
      <c r="H12" s="575" t="s">
        <v>842</v>
      </c>
      <c r="I12" s="576">
        <f t="shared" ref="I12:AR12" si="19">I35</f>
        <v>92465.672662644196</v>
      </c>
      <c r="J12" s="305">
        <f t="shared" si="19"/>
        <v>91112.909</v>
      </c>
      <c r="K12" s="577">
        <f t="shared" si="19"/>
        <v>98507.984309341511</v>
      </c>
      <c r="L12" s="578">
        <f t="shared" si="19"/>
        <v>79236.477586671914</v>
      </c>
      <c r="M12" s="305">
        <f t="shared" si="19"/>
        <v>89551</v>
      </c>
      <c r="N12" s="577">
        <f t="shared" si="19"/>
        <v>98784.572831423895</v>
      </c>
      <c r="O12" s="578">
        <f t="shared" si="19"/>
        <v>66101.800757105011</v>
      </c>
      <c r="P12" s="305">
        <f t="shared" si="19"/>
        <v>58150</v>
      </c>
      <c r="Q12" s="577">
        <f t="shared" si="19"/>
        <v>65914.984972091028</v>
      </c>
      <c r="R12" s="578">
        <f t="shared" si="19"/>
        <v>33582.709446123874</v>
      </c>
      <c r="S12" s="305">
        <f t="shared" si="19"/>
        <v>53963.199999999997</v>
      </c>
      <c r="T12" s="577">
        <f t="shared" si="19"/>
        <v>107789.95701643488</v>
      </c>
      <c r="U12" s="576">
        <f t="shared" si="19"/>
        <v>-4840.1798067887194</v>
      </c>
      <c r="V12" s="305">
        <f t="shared" si="19"/>
        <v>45357</v>
      </c>
      <c r="W12" s="577">
        <f t="shared" si="19"/>
        <v>10800.113880368101</v>
      </c>
      <c r="X12" s="576">
        <f t="shared" si="19"/>
        <v>0</v>
      </c>
      <c r="Y12" s="305">
        <f t="shared" si="19"/>
        <v>-13083.75</v>
      </c>
      <c r="Z12" s="577">
        <f t="shared" si="19"/>
        <v>0</v>
      </c>
      <c r="AA12" s="578">
        <f t="shared" si="19"/>
        <v>0</v>
      </c>
      <c r="AB12" s="305">
        <f t="shared" si="19"/>
        <v>-13083.75</v>
      </c>
      <c r="AC12" s="577">
        <f t="shared" si="19"/>
        <v>0</v>
      </c>
      <c r="AD12" s="576">
        <f t="shared" si="19"/>
        <v>0</v>
      </c>
      <c r="AE12" s="305">
        <f t="shared" si="19"/>
        <v>-13083.75</v>
      </c>
      <c r="AF12" s="577">
        <f t="shared" si="19"/>
        <v>0</v>
      </c>
      <c r="AG12" s="578">
        <f t="shared" si="19"/>
        <v>3354.0119749344894</v>
      </c>
      <c r="AH12" s="305">
        <f t="shared" si="19"/>
        <v>1163</v>
      </c>
      <c r="AI12" s="577">
        <f t="shared" si="19"/>
        <v>0</v>
      </c>
      <c r="AJ12" s="576">
        <f t="shared" si="19"/>
        <v>34203.822774815446</v>
      </c>
      <c r="AK12" s="305">
        <f t="shared" si="19"/>
        <v>50823.100000000006</v>
      </c>
      <c r="AL12" s="577">
        <f t="shared" si="19"/>
        <v>42374.630487593269</v>
      </c>
      <c r="AM12" s="578">
        <f t="shared" si="19"/>
        <v>61102.8077019966</v>
      </c>
      <c r="AN12" s="305">
        <f t="shared" si="19"/>
        <v>81177.399999999994</v>
      </c>
      <c r="AO12" s="577">
        <f t="shared" si="19"/>
        <v>66771.566062176164</v>
      </c>
      <c r="AP12" s="579">
        <f t="shared" si="19"/>
        <v>84171.420827193651</v>
      </c>
      <c r="AQ12" s="305">
        <f t="shared" si="19"/>
        <v>85364.200000000012</v>
      </c>
      <c r="AR12" s="305">
        <f t="shared" si="19"/>
        <v>96767.928147889776</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25">
      <c r="A13" s="358" t="s">
        <v>874</v>
      </c>
      <c r="B13" s="359" t="s">
        <v>1184</v>
      </c>
      <c r="C13" s="558">
        <f>C12*0.86/1000</f>
        <v>399.81960200637491</v>
      </c>
      <c r="D13" s="559">
        <f>D36</f>
        <v>478.64300000000003</v>
      </c>
      <c r="E13" s="560">
        <f>E36</f>
        <v>516.26609840950323</v>
      </c>
      <c r="F13" s="74">
        <f>C13/'Ввод исходных данных'!$G$45</f>
        <v>0.15496883798696701</v>
      </c>
      <c r="G13" s="539" t="s">
        <v>874</v>
      </c>
      <c r="H13" s="540" t="s">
        <v>1184</v>
      </c>
      <c r="I13" s="561">
        <f>I12*0.86/1000</f>
        <v>79.520478489874009</v>
      </c>
      <c r="J13" s="286">
        <f>J36</f>
        <v>78.343000000000004</v>
      </c>
      <c r="K13" s="562">
        <f>K36</f>
        <v>84.701620214395106</v>
      </c>
      <c r="L13" s="561">
        <f>L12*0.86/1000</f>
        <v>68.143370724537846</v>
      </c>
      <c r="M13" s="286">
        <f>M36</f>
        <v>77</v>
      </c>
      <c r="N13" s="562">
        <f>N36</f>
        <v>84.939443535188218</v>
      </c>
      <c r="O13" s="561">
        <f>O12*0.86/1000</f>
        <v>56.847548651110309</v>
      </c>
      <c r="P13" s="286">
        <f>P36</f>
        <v>50</v>
      </c>
      <c r="Q13" s="562">
        <f>Q36</f>
        <v>56.676685272649209</v>
      </c>
      <c r="R13" s="561">
        <f>R12*0.86/1000</f>
        <v>28.88113012366653</v>
      </c>
      <c r="S13" s="286">
        <f>S36</f>
        <v>46.4</v>
      </c>
      <c r="T13" s="562">
        <f>T36</f>
        <v>92.682680151706691</v>
      </c>
      <c r="U13" s="561">
        <f>U12*0.86/1000</f>
        <v>-4.1625546338382984</v>
      </c>
      <c r="V13" s="286">
        <f>V36</f>
        <v>39</v>
      </c>
      <c r="W13" s="562">
        <f>W36</f>
        <v>9.2864263803681002</v>
      </c>
      <c r="X13" s="561">
        <f>X12*0.86/1000</f>
        <v>0</v>
      </c>
      <c r="Y13" s="286">
        <f>Y36</f>
        <v>-11.25</v>
      </c>
      <c r="Z13" s="562">
        <f>Z36</f>
        <v>0</v>
      </c>
      <c r="AA13" s="561">
        <f>AA12*0.86/1000</f>
        <v>0</v>
      </c>
      <c r="AB13" s="286">
        <f>AB36</f>
        <v>-11.25</v>
      </c>
      <c r="AC13" s="562">
        <f>AC36</f>
        <v>0</v>
      </c>
      <c r="AD13" s="561">
        <f>AD12*0.86/1000</f>
        <v>0</v>
      </c>
      <c r="AE13" s="286">
        <f>AE36</f>
        <v>-11.25</v>
      </c>
      <c r="AF13" s="562">
        <f>AF36</f>
        <v>0</v>
      </c>
      <c r="AG13" s="561">
        <f>AG12*0.86/1000</f>
        <v>2.8844502984436606</v>
      </c>
      <c r="AH13" s="286">
        <f>AH36</f>
        <v>1</v>
      </c>
      <c r="AI13" s="562">
        <f>AI36</f>
        <v>0</v>
      </c>
      <c r="AJ13" s="561">
        <f>AJ12*0.86/1000</f>
        <v>29.415287586341286</v>
      </c>
      <c r="AK13" s="286">
        <f>AK36</f>
        <v>43.7</v>
      </c>
      <c r="AL13" s="562">
        <f>AL36</f>
        <v>36.435623807044941</v>
      </c>
      <c r="AM13" s="561">
        <f>AM12*0.86/1000</f>
        <v>52.548414623717079</v>
      </c>
      <c r="AN13" s="286">
        <f>AN36</f>
        <v>69.8</v>
      </c>
      <c r="AO13" s="562">
        <f>AO36</f>
        <v>57.413212435233156</v>
      </c>
      <c r="AP13" s="563">
        <f>AP12*0.86/1000</f>
        <v>72.387421911386539</v>
      </c>
      <c r="AQ13" s="286">
        <f>AQ36</f>
        <v>73.400000000000006</v>
      </c>
      <c r="AR13" s="286">
        <f>AR36</f>
        <v>83.205441227764211</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25">
      <c r="A14" s="358" t="s">
        <v>874</v>
      </c>
      <c r="B14" s="359" t="s">
        <v>1181</v>
      </c>
      <c r="C14" s="564">
        <f>C12/$C$6</f>
        <v>0.67119123988425866</v>
      </c>
      <c r="D14" s="565">
        <f>D12/$D$6</f>
        <v>0.73891326858652961</v>
      </c>
      <c r="E14" s="566"/>
      <c r="F14" s="74">
        <f>E13/'Ввод исходных данных'!$G$45</f>
        <v>0.20010313891841211</v>
      </c>
      <c r="G14" s="539"/>
      <c r="H14" s="540"/>
      <c r="I14" s="567">
        <f t="shared" ref="I14:AR14" si="20">I12/I$6</f>
        <v>0.81317339780689557</v>
      </c>
      <c r="J14" s="553">
        <f t="shared" si="20"/>
        <v>0.82081771586087549</v>
      </c>
      <c r="K14" s="568">
        <f t="shared" si="20"/>
        <v>0.83200937454109958</v>
      </c>
      <c r="L14" s="567">
        <f t="shared" si="20"/>
        <v>0.80201573594468101</v>
      </c>
      <c r="M14" s="553">
        <f t="shared" si="20"/>
        <v>0.81908525068485005</v>
      </c>
      <c r="N14" s="568">
        <f t="shared" si="20"/>
        <v>0.83317459051762854</v>
      </c>
      <c r="O14" s="567">
        <f t="shared" si="20"/>
        <v>0.75678290008296512</v>
      </c>
      <c r="P14" s="553">
        <f t="shared" si="20"/>
        <v>0.77981113886119757</v>
      </c>
      <c r="Q14" s="568">
        <f t="shared" si="20"/>
        <v>0.80057724400943853</v>
      </c>
      <c r="R14" s="567">
        <f t="shared" si="20"/>
        <v>0.61886009052627888</v>
      </c>
      <c r="S14" s="553">
        <f t="shared" si="20"/>
        <v>0.72394658292673708</v>
      </c>
      <c r="T14" s="568">
        <f t="shared" si="20"/>
        <v>0.83970104381611688</v>
      </c>
      <c r="U14" s="567">
        <f t="shared" si="20"/>
        <v>-0.40960448714373998</v>
      </c>
      <c r="V14" s="553">
        <f t="shared" si="20"/>
        <v>0.76340705554444011</v>
      </c>
      <c r="W14" s="568">
        <f t="shared" si="20"/>
        <v>0.43448937596566062</v>
      </c>
      <c r="X14" s="567">
        <f t="shared" si="20"/>
        <v>0</v>
      </c>
      <c r="Y14" s="553">
        <f t="shared" si="20"/>
        <v>-27.7198093220339</v>
      </c>
      <c r="Z14" s="568">
        <f t="shared" si="20"/>
        <v>0</v>
      </c>
      <c r="AA14" s="567">
        <f t="shared" si="20"/>
        <v>0</v>
      </c>
      <c r="AB14" s="553">
        <f t="shared" si="20"/>
        <v>-26.701530612244898</v>
      </c>
      <c r="AC14" s="568">
        <f t="shared" si="20"/>
        <v>0</v>
      </c>
      <c r="AD14" s="567">
        <f t="shared" si="20"/>
        <v>0</v>
      </c>
      <c r="AE14" s="553">
        <f t="shared" si="20"/>
        <v>-19.975190839694658</v>
      </c>
      <c r="AF14" s="568">
        <f t="shared" si="20"/>
        <v>0</v>
      </c>
      <c r="AG14" s="567">
        <f t="shared" si="20"/>
        <v>0.15004799324928558</v>
      </c>
      <c r="AH14" s="553">
        <f t="shared" si="20"/>
        <v>7.8508142772761788E-2</v>
      </c>
      <c r="AI14" s="568">
        <f t="shared" si="20"/>
        <v>0</v>
      </c>
      <c r="AJ14" s="567">
        <f t="shared" si="20"/>
        <v>0.61686514093247036</v>
      </c>
      <c r="AK14" s="553">
        <f t="shared" si="20"/>
        <v>0.75291975641968645</v>
      </c>
      <c r="AL14" s="568">
        <f t="shared" si="20"/>
        <v>0.71757093198012545</v>
      </c>
      <c r="AM14" s="567">
        <f t="shared" si="20"/>
        <v>0.74711025743318449</v>
      </c>
      <c r="AN14" s="553">
        <f t="shared" si="20"/>
        <v>0.83247217184465971</v>
      </c>
      <c r="AO14" s="568">
        <f t="shared" si="20"/>
        <v>0.80343304909157731</v>
      </c>
      <c r="AP14" s="552">
        <f t="shared" si="20"/>
        <v>0.79847358420671888</v>
      </c>
      <c r="AQ14" s="553">
        <f t="shared" si="20"/>
        <v>0.83846921823971254</v>
      </c>
      <c r="AR14" s="553">
        <f t="shared" si="20"/>
        <v>0.85473985931987495</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25">
      <c r="A15" s="569" t="s">
        <v>999</v>
      </c>
      <c r="B15" s="570" t="s">
        <v>842</v>
      </c>
      <c r="C15" s="580">
        <f>C85</f>
        <v>181616.27884615384</v>
      </c>
      <c r="D15" s="581">
        <f>D85</f>
        <v>188890.1484508547</v>
      </c>
      <c r="E15" s="582">
        <f>D85</f>
        <v>188890.1484508547</v>
      </c>
      <c r="F15" s="74">
        <f>E13/C13-1</f>
        <v>0.29124759221102825</v>
      </c>
      <c r="G15" s="574" t="s">
        <v>999</v>
      </c>
      <c r="H15" s="575" t="s">
        <v>842</v>
      </c>
      <c r="I15" s="576">
        <f t="shared" ref="I15:J15" si="21">I85</f>
        <v>17399.323224852069</v>
      </c>
      <c r="J15" s="305">
        <f t="shared" si="21"/>
        <v>18949.631249999999</v>
      </c>
      <c r="K15" s="583">
        <f>J15</f>
        <v>18949.631249999999</v>
      </c>
      <c r="L15" s="576">
        <f>K85</f>
        <v>15715.517751479289</v>
      </c>
      <c r="M15" s="305">
        <f>L85</f>
        <v>19189.5</v>
      </c>
      <c r="N15" s="584">
        <f>M15</f>
        <v>19189.5</v>
      </c>
      <c r="O15" s="578">
        <f>M85</f>
        <v>17399.323224852069</v>
      </c>
      <c r="P15" s="306">
        <f>N85</f>
        <v>15831.337500000001</v>
      </c>
      <c r="Q15" s="583">
        <f>P15</f>
        <v>15831.337500000001</v>
      </c>
      <c r="R15" s="578">
        <f>O85</f>
        <v>16838.054733727811</v>
      </c>
      <c r="S15" s="306">
        <f>P85</f>
        <v>19909.106249999997</v>
      </c>
      <c r="T15" s="577">
        <f>S15</f>
        <v>19909.106249999997</v>
      </c>
      <c r="U15" s="576">
        <f>Q85</f>
        <v>12812.228920118343</v>
      </c>
      <c r="V15" s="305">
        <f>R85</f>
        <v>12952.912499999999</v>
      </c>
      <c r="W15" s="583">
        <f>V15</f>
        <v>12952.912499999999</v>
      </c>
      <c r="X15" s="576">
        <f>S85</f>
        <v>12398.931213017753</v>
      </c>
      <c r="Y15" s="305">
        <f>T85</f>
        <v>13083.75</v>
      </c>
      <c r="Z15" s="583">
        <f>Y15</f>
        <v>13083.75</v>
      </c>
      <c r="AA15" s="576">
        <f>U85</f>
        <v>7026.0610207100581</v>
      </c>
      <c r="AB15" s="305">
        <f>V85</f>
        <v>13083.75</v>
      </c>
      <c r="AC15" s="583">
        <f>AB15</f>
        <v>13083.75</v>
      </c>
      <c r="AD15" s="576">
        <f>W85</f>
        <v>12812.228920118343</v>
      </c>
      <c r="AE15" s="305">
        <f>X85</f>
        <v>13083.75</v>
      </c>
      <c r="AF15" s="577">
        <f>AE15</f>
        <v>13083.75</v>
      </c>
      <c r="AG15" s="578">
        <f>Y85</f>
        <v>15154.249260355029</v>
      </c>
      <c r="AH15" s="306">
        <f>Z85</f>
        <v>13083.75</v>
      </c>
      <c r="AI15" s="583">
        <f>AH15</f>
        <v>13083.75</v>
      </c>
      <c r="AJ15" s="578">
        <f>AA85</f>
        <v>17399.323224852069</v>
      </c>
      <c r="AK15" s="306">
        <f>AB85</f>
        <v>15991.25</v>
      </c>
      <c r="AL15" s="583">
        <f>AK15</f>
        <v>15991.25</v>
      </c>
      <c r="AM15" s="578">
        <f>AC85</f>
        <v>16838.054733727811</v>
      </c>
      <c r="AN15" s="306">
        <f>AD85</f>
        <v>15991.25</v>
      </c>
      <c r="AO15" s="583">
        <f>AN15</f>
        <v>15991.25</v>
      </c>
      <c r="AP15" s="585">
        <f>AE85</f>
        <v>17399.323224852069</v>
      </c>
      <c r="AQ15" s="305">
        <f>AF85</f>
        <v>15751.381249999999</v>
      </c>
      <c r="AR15" s="306">
        <f>AQ15</f>
        <v>15751.381249999999</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25">
      <c r="A16" s="358" t="s">
        <v>874</v>
      </c>
      <c r="B16" s="359" t="s">
        <v>1184</v>
      </c>
      <c r="C16" s="558">
        <f>C15*0.86/1000</f>
        <v>156.18999980769232</v>
      </c>
      <c r="D16" s="664">
        <f>D86</f>
        <v>162.41629273504273</v>
      </c>
      <c r="E16" s="1268">
        <f>D86</f>
        <v>162.41629273504273</v>
      </c>
      <c r="F16" s="74"/>
      <c r="G16" s="539" t="s">
        <v>874</v>
      </c>
      <c r="H16" s="540" t="s">
        <v>1184</v>
      </c>
      <c r="I16" s="561">
        <f>I15*0.86/1000</f>
        <v>14.963417973372779</v>
      </c>
      <c r="J16" s="95">
        <f>J86</f>
        <v>16.293749999999999</v>
      </c>
      <c r="K16" s="586">
        <f>J16</f>
        <v>16.293749999999999</v>
      </c>
      <c r="L16" s="561">
        <f>L15*0.86/1000</f>
        <v>13.515345266272188</v>
      </c>
      <c r="M16" s="95">
        <f>L86</f>
        <v>16.5</v>
      </c>
      <c r="N16" s="587">
        <f>M16</f>
        <v>16.5</v>
      </c>
      <c r="O16" s="561">
        <f>O15*0.86/1000</f>
        <v>14.963417973372779</v>
      </c>
      <c r="P16" s="95">
        <f>N86</f>
        <v>13.612500000000001</v>
      </c>
      <c r="Q16" s="586">
        <f>P16</f>
        <v>13.612500000000001</v>
      </c>
      <c r="R16" s="561">
        <f>R15*0.86/1000</f>
        <v>14.480727071005917</v>
      </c>
      <c r="S16" s="95">
        <f>P86</f>
        <v>17.118749999999999</v>
      </c>
      <c r="T16" s="586">
        <f>S16</f>
        <v>17.118749999999999</v>
      </c>
      <c r="U16" s="561">
        <f>U15*0.86/1000</f>
        <v>11.018516871301776</v>
      </c>
      <c r="V16" s="95">
        <f>R86</f>
        <v>11.137499999999999</v>
      </c>
      <c r="W16" s="586">
        <f>V16</f>
        <v>11.137499999999999</v>
      </c>
      <c r="X16" s="561">
        <f>X15*0.86/1000</f>
        <v>10.663080843195269</v>
      </c>
      <c r="Y16" s="95">
        <f>T86</f>
        <v>11.25</v>
      </c>
      <c r="Z16" s="586">
        <f>Y16</f>
        <v>11.25</v>
      </c>
      <c r="AA16" s="561">
        <f>AA15*0.86/1000</f>
        <v>6.0424124778106494</v>
      </c>
      <c r="AB16" s="95">
        <f>V86</f>
        <v>11.25</v>
      </c>
      <c r="AC16" s="586">
        <f>AB16</f>
        <v>11.25</v>
      </c>
      <c r="AD16" s="561">
        <f>AD15*0.86/1000</f>
        <v>11.018516871301776</v>
      </c>
      <c r="AE16" s="95">
        <f>X86</f>
        <v>11.25</v>
      </c>
      <c r="AF16" s="586">
        <f>AE16</f>
        <v>11.25</v>
      </c>
      <c r="AG16" s="561">
        <f>AG15*0.86/1000</f>
        <v>13.032654363905325</v>
      </c>
      <c r="AH16" s="95">
        <f>Z86</f>
        <v>11.25</v>
      </c>
      <c r="AI16" s="586">
        <f>AH16</f>
        <v>11.25</v>
      </c>
      <c r="AJ16" s="561">
        <f>AJ15*0.86/1000</f>
        <v>14.963417973372779</v>
      </c>
      <c r="AK16" s="95">
        <f>AB86</f>
        <v>13.75</v>
      </c>
      <c r="AL16" s="586">
        <f>AK16</f>
        <v>13.75</v>
      </c>
      <c r="AM16" s="561">
        <f>AM15*0.86/1000</f>
        <v>14.480727071005917</v>
      </c>
      <c r="AN16" s="95">
        <f>AD86</f>
        <v>13.75</v>
      </c>
      <c r="AO16" s="586">
        <f>AN16</f>
        <v>13.75</v>
      </c>
      <c r="AP16" s="563">
        <f>AP15*0.86/1000</f>
        <v>14.963417973372779</v>
      </c>
      <c r="AQ16" s="95">
        <f>AF86</f>
        <v>13.543749999999999</v>
      </c>
      <c r="AR16" s="95">
        <f>AQ16</f>
        <v>13.543749999999999</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
      <c r="A17" s="385" t="s">
        <v>874</v>
      </c>
      <c r="B17" s="386" t="s">
        <v>1181</v>
      </c>
      <c r="C17" s="588">
        <f>C15/$C$6</f>
        <v>0.26220165070039664</v>
      </c>
      <c r="D17" s="589">
        <f>D15/$D$6</f>
        <v>0.25073291312430568</v>
      </c>
      <c r="E17" s="590"/>
      <c r="F17" s="74"/>
      <c r="G17" s="544"/>
      <c r="H17" s="545"/>
      <c r="I17" s="546">
        <f t="shared" ref="I17:AR17" si="22">I15/I$6</f>
        <v>0.15301534481789802</v>
      </c>
      <c r="J17" s="547">
        <f t="shared" si="22"/>
        <v>0.17071338419269289</v>
      </c>
      <c r="K17" s="548">
        <f t="shared" si="22"/>
        <v>0.16005068984648649</v>
      </c>
      <c r="L17" s="546">
        <f t="shared" si="22"/>
        <v>0.15906931906983773</v>
      </c>
      <c r="M17" s="547">
        <f t="shared" si="22"/>
        <v>0.17551826800389644</v>
      </c>
      <c r="N17" s="591">
        <f t="shared" si="22"/>
        <v>0.16184919716180723</v>
      </c>
      <c r="O17" s="546">
        <f t="shared" si="22"/>
        <v>0.199200477729332</v>
      </c>
      <c r="P17" s="547">
        <f t="shared" si="22"/>
        <v>0.21230358255496104</v>
      </c>
      <c r="Q17" s="548">
        <f t="shared" si="22"/>
        <v>0.19228114138385446</v>
      </c>
      <c r="R17" s="546">
        <f t="shared" si="22"/>
        <v>0.310290630168435</v>
      </c>
      <c r="S17" s="547">
        <f t="shared" si="22"/>
        <v>0.26709182255338532</v>
      </c>
      <c r="T17" s="548">
        <f t="shared" si="22"/>
        <v>0.15509512910392945</v>
      </c>
      <c r="U17" s="546">
        <f t="shared" si="22"/>
        <v>1.0842461779276513</v>
      </c>
      <c r="V17" s="547">
        <f t="shared" si="22"/>
        <v>0.21801143797759487</v>
      </c>
      <c r="W17" s="548">
        <f t="shared" si="22"/>
        <v>0.52109662281366509</v>
      </c>
      <c r="X17" s="546">
        <f t="shared" si="22"/>
        <v>0.76331187861556693</v>
      </c>
      <c r="Y17" s="547">
        <f t="shared" si="22"/>
        <v>27.7198093220339</v>
      </c>
      <c r="Z17" s="548">
        <f t="shared" si="22"/>
        <v>0.96518082732419819</v>
      </c>
      <c r="AA17" s="546">
        <f t="shared" si="22"/>
        <v>0.64632849085796173</v>
      </c>
      <c r="AB17" s="547">
        <f t="shared" si="22"/>
        <v>26.701530612244898</v>
      </c>
      <c r="AC17" s="548">
        <f t="shared" si="22"/>
        <v>0.96390091168615899</v>
      </c>
      <c r="AD17" s="546">
        <f t="shared" si="22"/>
        <v>0.76918468110486993</v>
      </c>
      <c r="AE17" s="547">
        <f t="shared" si="22"/>
        <v>19.975190839694658</v>
      </c>
      <c r="AF17" s="548">
        <f t="shared" si="22"/>
        <v>0.95232462924210715</v>
      </c>
      <c r="AG17" s="546">
        <f t="shared" si="22"/>
        <v>0.67795365899376536</v>
      </c>
      <c r="AH17" s="547">
        <f t="shared" si="22"/>
        <v>0.88321660619357012</v>
      </c>
      <c r="AI17" s="548">
        <f t="shared" si="22"/>
        <v>0.958463820669194</v>
      </c>
      <c r="AJ17" s="546">
        <f t="shared" si="22"/>
        <v>0.31379638597387421</v>
      </c>
      <c r="AK17" s="547">
        <f t="shared" si="22"/>
        <v>0.2369026693540203</v>
      </c>
      <c r="AL17" s="548">
        <f t="shared" si="22"/>
        <v>0.27079542721645367</v>
      </c>
      <c r="AM17" s="546">
        <f t="shared" si="22"/>
        <v>0.20588061138110963</v>
      </c>
      <c r="AN17" s="547">
        <f t="shared" si="22"/>
        <v>0.16398986193215001</v>
      </c>
      <c r="AO17" s="548">
        <f t="shared" si="22"/>
        <v>0.1924157168085891</v>
      </c>
      <c r="AP17" s="549">
        <f t="shared" si="22"/>
        <v>0.16505483502103832</v>
      </c>
      <c r="AQ17" s="550">
        <f t="shared" si="22"/>
        <v>0.15471413453043739</v>
      </c>
      <c r="AR17" s="550">
        <f t="shared" si="22"/>
        <v>0.13913011936292355</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25">
      <c r="A18" s="522" t="s">
        <v>1188</v>
      </c>
      <c r="B18" s="592" t="s">
        <v>842</v>
      </c>
      <c r="C18" s="593">
        <f>C100</f>
        <v>46136</v>
      </c>
      <c r="D18" s="594">
        <f>D100</f>
        <v>7800.07</v>
      </c>
      <c r="E18" s="595">
        <f>D100</f>
        <v>7800.07</v>
      </c>
      <c r="F18" s="74"/>
      <c r="G18" s="527" t="s">
        <v>1186</v>
      </c>
      <c r="H18" s="528" t="s">
        <v>842</v>
      </c>
      <c r="I18" s="327">
        <f>I100</f>
        <v>3844.6666666666665</v>
      </c>
      <c r="J18" s="596">
        <f>J100</f>
        <v>940.06999999999994</v>
      </c>
      <c r="K18" s="597">
        <f>J18</f>
        <v>940.06999999999994</v>
      </c>
      <c r="L18" s="327">
        <f>K100</f>
        <v>3844.6666666666665</v>
      </c>
      <c r="M18" s="596">
        <f>L100</f>
        <v>590</v>
      </c>
      <c r="N18" s="597">
        <f>M18</f>
        <v>590</v>
      </c>
      <c r="O18" s="327">
        <f>M100</f>
        <v>3844.6666666666665</v>
      </c>
      <c r="P18" s="596">
        <f>N100</f>
        <v>588</v>
      </c>
      <c r="Q18" s="597">
        <f>P18</f>
        <v>588</v>
      </c>
      <c r="R18" s="327">
        <f>O100</f>
        <v>3844.6666666666665</v>
      </c>
      <c r="S18" s="596">
        <f>P100</f>
        <v>668</v>
      </c>
      <c r="T18" s="597">
        <f>S18</f>
        <v>668</v>
      </c>
      <c r="U18" s="327">
        <f>Q100</f>
        <v>3844.6666666666665</v>
      </c>
      <c r="V18" s="596">
        <f>R100</f>
        <v>1104</v>
      </c>
      <c r="W18" s="597">
        <f>V18</f>
        <v>1104</v>
      </c>
      <c r="X18" s="327">
        <f>S100</f>
        <v>3844.6666666666665</v>
      </c>
      <c r="Y18" s="596">
        <f>T100</f>
        <v>472</v>
      </c>
      <c r="Z18" s="597">
        <f>Y18</f>
        <v>472</v>
      </c>
      <c r="AA18" s="327">
        <f>U100</f>
        <v>3844.6666666666665</v>
      </c>
      <c r="AB18" s="596">
        <f>V100</f>
        <v>490</v>
      </c>
      <c r="AC18" s="597">
        <f>AB18</f>
        <v>490</v>
      </c>
      <c r="AD18" s="327">
        <f>W100</f>
        <v>3844.6666666666665</v>
      </c>
      <c r="AE18" s="596">
        <f>X100</f>
        <v>655</v>
      </c>
      <c r="AF18" s="597">
        <f>AE18</f>
        <v>655</v>
      </c>
      <c r="AG18" s="327">
        <f>Y100</f>
        <v>3844.6666666666665</v>
      </c>
      <c r="AH18" s="596">
        <f>Z100</f>
        <v>567</v>
      </c>
      <c r="AI18" s="597">
        <f>AH18</f>
        <v>567</v>
      </c>
      <c r="AJ18" s="327">
        <f>AA100</f>
        <v>3844.6666666666665</v>
      </c>
      <c r="AK18" s="596">
        <f>AB100</f>
        <v>687</v>
      </c>
      <c r="AL18" s="597">
        <f>AK18</f>
        <v>687</v>
      </c>
      <c r="AM18" s="327">
        <f>AC100</f>
        <v>3844.6666666666665</v>
      </c>
      <c r="AN18" s="596">
        <f>AD100</f>
        <v>345</v>
      </c>
      <c r="AO18" s="597">
        <f>AN18</f>
        <v>345</v>
      </c>
      <c r="AP18" s="327">
        <f>AE100</f>
        <v>3844.6666666666665</v>
      </c>
      <c r="AQ18" s="596">
        <f>AF100</f>
        <v>694</v>
      </c>
      <c r="AR18" s="597">
        <f>AQ18</f>
        <v>694</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
      <c r="A19" s="385" t="s">
        <v>874</v>
      </c>
      <c r="B19" s="598" t="s">
        <v>1181</v>
      </c>
      <c r="C19" s="588">
        <f>C18/$C$6</f>
        <v>6.6607109415344576E-2</v>
      </c>
      <c r="D19" s="589">
        <f>D18/$D$6</f>
        <v>1.0353818289164745E-2</v>
      </c>
      <c r="E19" s="599">
        <f>E18/$E$6</f>
        <v>9.7867924343315784E-3</v>
      </c>
      <c r="F19" s="74"/>
      <c r="G19" s="600"/>
      <c r="H19" s="545"/>
      <c r="I19" s="546">
        <f>I18/$C$6</f>
        <v>5.5505924512787149E-3</v>
      </c>
      <c r="J19" s="601"/>
      <c r="K19" s="602"/>
      <c r="L19" s="546">
        <f>L18/$C$6</f>
        <v>5.5505924512787149E-3</v>
      </c>
      <c r="M19" s="601"/>
      <c r="N19" s="602"/>
      <c r="O19" s="546">
        <f>O18/$C$6</f>
        <v>5.5505924512787149E-3</v>
      </c>
      <c r="P19" s="601"/>
      <c r="Q19" s="602"/>
      <c r="R19" s="546">
        <f>R18/$C$6</f>
        <v>5.5505924512787149E-3</v>
      </c>
      <c r="S19" s="601"/>
      <c r="T19" s="602"/>
      <c r="U19" s="546">
        <f>U18/$C$6</f>
        <v>5.5505924512787149E-3</v>
      </c>
      <c r="V19" s="601"/>
      <c r="W19" s="602"/>
      <c r="X19" s="546">
        <f>X18/$C$6</f>
        <v>5.5505924512787149E-3</v>
      </c>
      <c r="Y19" s="601"/>
      <c r="Z19" s="602"/>
      <c r="AA19" s="546">
        <f>AA18/$C$6</f>
        <v>5.5505924512787149E-3</v>
      </c>
      <c r="AB19" s="601"/>
      <c r="AC19" s="602"/>
      <c r="AD19" s="546">
        <f>AD18/$C$6</f>
        <v>5.5505924512787149E-3</v>
      </c>
      <c r="AE19" s="601"/>
      <c r="AF19" s="602"/>
      <c r="AG19" s="546">
        <f>AG18/$C$6</f>
        <v>5.5505924512787149E-3</v>
      </c>
      <c r="AH19" s="601"/>
      <c r="AI19" s="602"/>
      <c r="AJ19" s="546">
        <f>AJ18/$C$6</f>
        <v>5.5505924512787149E-3</v>
      </c>
      <c r="AK19" s="601"/>
      <c r="AL19" s="602"/>
      <c r="AM19" s="546">
        <f>AM18/$C$6</f>
        <v>5.5505924512787149E-3</v>
      </c>
      <c r="AN19" s="601"/>
      <c r="AO19" s="602"/>
      <c r="AP19" s="546">
        <f>AP18/$C$6</f>
        <v>5.5505924512787149E-3</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25">
      <c r="A20" s="603" t="s">
        <v>1187</v>
      </c>
      <c r="B20" s="604" t="s">
        <v>842</v>
      </c>
      <c r="C20" s="605"/>
      <c r="D20" s="572">
        <f>D6-C6</f>
        <v>60693.234643799718</v>
      </c>
      <c r="E20" s="606">
        <f>E6-C6</f>
        <v>104340.84239903605</v>
      </c>
      <c r="F20" s="74"/>
      <c r="G20" s="344" t="s">
        <v>1187</v>
      </c>
      <c r="H20" s="326" t="s">
        <v>842</v>
      </c>
      <c r="I20" s="373"/>
      <c r="J20" s="607">
        <f>J6-I6</f>
        <v>-2707.0523041629349</v>
      </c>
      <c r="K20" s="608">
        <f>K6-I6</f>
        <v>4688.0230051785766</v>
      </c>
      <c r="L20" s="373"/>
      <c r="M20" s="607">
        <f>M6-L6</f>
        <v>10533.837995182126</v>
      </c>
      <c r="N20" s="608">
        <f>N6-L6</f>
        <v>19767.410826606021</v>
      </c>
      <c r="O20" s="373"/>
      <c r="P20" s="607">
        <f>P6-O6</f>
        <v>-12776.453148623754</v>
      </c>
      <c r="Q20" s="608">
        <f>Q6-O6</f>
        <v>-5011.4681765327114</v>
      </c>
      <c r="R20" s="373"/>
      <c r="S20" s="607">
        <f>S6-R6</f>
        <v>20274.875403481645</v>
      </c>
      <c r="T20" s="609">
        <f>T6-R6</f>
        <v>74101.632419916539</v>
      </c>
      <c r="U20" s="373"/>
      <c r="V20" s="610">
        <f>V6-U6</f>
        <v>47597.196720003711</v>
      </c>
      <c r="W20" s="608">
        <f>W6-U6</f>
        <v>13040.310600371811</v>
      </c>
      <c r="X20" s="611"/>
      <c r="Y20" s="607">
        <f>Y6-X6</f>
        <v>-15771.597879684419</v>
      </c>
      <c r="Z20" s="608">
        <f>Z6-X6</f>
        <v>-2687.8478796844192</v>
      </c>
      <c r="AA20" s="373"/>
      <c r="AB20" s="607">
        <f>AB6-AA6</f>
        <v>-10380.727687376724</v>
      </c>
      <c r="AC20" s="612">
        <f>AC6-AA6</f>
        <v>2703.0223126232759</v>
      </c>
      <c r="AD20" s="373"/>
      <c r="AE20" s="607">
        <f>AE6-AD6</f>
        <v>-16001.895586785009</v>
      </c>
      <c r="AF20" s="612">
        <f>AF6-AD6</f>
        <v>-2918.1455867850091</v>
      </c>
      <c r="AG20" s="373"/>
      <c r="AH20" s="610">
        <f>AH6-AG6</f>
        <v>-7539.1779019561873</v>
      </c>
      <c r="AI20" s="608">
        <f>AI6-AG6</f>
        <v>-8702.1779019561873</v>
      </c>
      <c r="AJ20" s="373"/>
      <c r="AK20" s="610">
        <f>AK6-AJ6</f>
        <v>12053.53733366583</v>
      </c>
      <c r="AL20" s="608">
        <f>AL6-AJ6</f>
        <v>3605.0678212590938</v>
      </c>
      <c r="AM20" s="374"/>
      <c r="AN20" s="607">
        <f>AN6-AM6</f>
        <v>15728.120897608911</v>
      </c>
      <c r="AO20" s="608">
        <f>AO6-AM6</f>
        <v>1322.2869597850804</v>
      </c>
      <c r="AP20" s="373"/>
      <c r="AQ20" s="607">
        <f>AQ6-AP6</f>
        <v>-3605.8294687123707</v>
      </c>
      <c r="AR20" s="608">
        <f>AR6-AP6</f>
        <v>7797.8986791773787</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25">
      <c r="A21" s="358" t="s">
        <v>874</v>
      </c>
      <c r="B21" s="359" t="s">
        <v>1180</v>
      </c>
      <c r="C21" s="378"/>
      <c r="D21" s="613">
        <f>D20*0.123/1000</f>
        <v>7.4652678611873649</v>
      </c>
      <c r="E21" s="613">
        <f>E20*0.123/1000</f>
        <v>12.833923615081433</v>
      </c>
      <c r="F21" s="74"/>
      <c r="G21" s="539" t="s">
        <v>874</v>
      </c>
      <c r="H21" s="540" t="s">
        <v>1180</v>
      </c>
      <c r="I21" s="614"/>
      <c r="J21" s="313">
        <f>J20*0.123/1000</f>
        <v>-0.33296743341204099</v>
      </c>
      <c r="K21" s="615">
        <f>K20*0.123/1000</f>
        <v>0.57662682963696488</v>
      </c>
      <c r="L21" s="614"/>
      <c r="M21" s="313">
        <f>M20*0.123/1000</f>
        <v>1.2956620734074016</v>
      </c>
      <c r="N21" s="615">
        <f>N20*0.123/1000</f>
        <v>2.4313915316725407</v>
      </c>
      <c r="O21" s="614"/>
      <c r="P21" s="313">
        <f>P20*0.123/1000</f>
        <v>-1.5715037372807217</v>
      </c>
      <c r="Q21" s="615">
        <f>Q20*0.123/1000</f>
        <v>-0.61641058571352347</v>
      </c>
      <c r="R21" s="614"/>
      <c r="S21" s="313">
        <f>S20*0.123/1000</f>
        <v>2.4938096746282423</v>
      </c>
      <c r="T21" s="616">
        <f>T20*0.123/1000</f>
        <v>9.1145007876497353</v>
      </c>
      <c r="U21" s="614"/>
      <c r="V21" s="313">
        <f>V20*0.123/1000</f>
        <v>5.8544551965604557</v>
      </c>
      <c r="W21" s="615">
        <f>W20*0.123/1000</f>
        <v>1.6039582038457327</v>
      </c>
      <c r="X21" s="617"/>
      <c r="Y21" s="313">
        <f>Y20*0.123/1000</f>
        <v>-1.9399065392011834</v>
      </c>
      <c r="Z21" s="615">
        <f>Z20*0.123/1000</f>
        <v>-0.33060528920118354</v>
      </c>
      <c r="AA21" s="614"/>
      <c r="AB21" s="313">
        <f>AB20*0.123/1000</f>
        <v>-1.2768295055473371</v>
      </c>
      <c r="AC21" s="615">
        <f>AC20*0.123/1000</f>
        <v>0.33247174445266292</v>
      </c>
      <c r="AD21" s="614"/>
      <c r="AE21" s="313">
        <f>AE20*0.123/1000</f>
        <v>-1.9682331571745559</v>
      </c>
      <c r="AF21" s="615">
        <f>AF20*0.123/1000</f>
        <v>-0.35893190717455609</v>
      </c>
      <c r="AG21" s="614"/>
      <c r="AH21" s="313">
        <f>AH20*0.123/1000</f>
        <v>-0.92731888194061107</v>
      </c>
      <c r="AI21" s="615">
        <f>AI20*0.123/1000</f>
        <v>-1.0703678819406108</v>
      </c>
      <c r="AJ21" s="614"/>
      <c r="AK21" s="313">
        <f>AK20*0.123/1000</f>
        <v>1.4825850920408969</v>
      </c>
      <c r="AL21" s="615">
        <f>AL20*0.123/1000</f>
        <v>0.44342334201486855</v>
      </c>
      <c r="AM21" s="618"/>
      <c r="AN21" s="313">
        <f>AN20*0.123/1000</f>
        <v>1.934558870405896</v>
      </c>
      <c r="AO21" s="615">
        <f>AO20*0.123/1000</f>
        <v>0.16264129605356489</v>
      </c>
      <c r="AP21" s="614"/>
      <c r="AQ21" s="313">
        <f>AQ20*0.123/1000</f>
        <v>-0.44351702465162157</v>
      </c>
      <c r="AR21" s="619">
        <f>AR20*0.123/1000</f>
        <v>0.95914153753881759</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75" thickBot="1" x14ac:dyDescent="0.3">
      <c r="A22" s="385" t="s">
        <v>874</v>
      </c>
      <c r="B22" s="359" t="s">
        <v>1181</v>
      </c>
      <c r="C22" s="620"/>
      <c r="D22" s="621">
        <f>(D20/C6)*100</f>
        <v>8.7623567727821019</v>
      </c>
      <c r="E22" s="621">
        <f>(E20/C6)*100</f>
        <v>15.063815471999781</v>
      </c>
      <c r="F22" s="74"/>
      <c r="G22" s="544" t="s">
        <v>874</v>
      </c>
      <c r="H22" s="545" t="s">
        <v>1181</v>
      </c>
      <c r="I22" s="622"/>
      <c r="J22" s="623">
        <f>(J20/I6)*100</f>
        <v>-2.3806704226859297</v>
      </c>
      <c r="K22" s="624">
        <f>(K20/I6)*100</f>
        <v>4.1228009123196072</v>
      </c>
      <c r="L22" s="622"/>
      <c r="M22" s="623">
        <f>(M20/L6)*100</f>
        <v>10.662139571748321</v>
      </c>
      <c r="N22" s="624">
        <f>(N20/L6)*100</f>
        <v>20.008176820429473</v>
      </c>
      <c r="O22" s="622"/>
      <c r="P22" s="623">
        <f>(P20/O6)*100</f>
        <v>-14.627440033167833</v>
      </c>
      <c r="Q22" s="624">
        <f>(Q20/O6)*100</f>
        <v>-5.7375039361575393</v>
      </c>
      <c r="R22" s="622"/>
      <c r="S22" s="623">
        <f>(S20/R6)*100</f>
        <v>37.362414869285928</v>
      </c>
      <c r="T22" s="625">
        <f>(T20/R6)*100</f>
        <v>136.55402945109182</v>
      </c>
      <c r="U22" s="620"/>
      <c r="V22" s="621">
        <f>(V20/U6)*100</f>
        <v>402.79547723892756</v>
      </c>
      <c r="W22" s="626">
        <f>(W20/U6)*100</f>
        <v>110.35477913792985</v>
      </c>
      <c r="X22" s="627"/>
      <c r="Y22" s="628">
        <f>(Y20/X6)*100</f>
        <v>-97.094239813764887</v>
      </c>
      <c r="Z22" s="629">
        <f>(Z20/X6)*100</f>
        <v>-16.547121515769994</v>
      </c>
      <c r="AA22" s="622"/>
      <c r="AB22" s="623">
        <f>(AB20/AA6)*100</f>
        <v>-95.492482066596182</v>
      </c>
      <c r="AC22" s="624">
        <f>(AC20/AA6)*100</f>
        <v>24.865146017428728</v>
      </c>
      <c r="AD22" s="622"/>
      <c r="AE22" s="623">
        <f>(AE20/AD6)*100</f>
        <v>-96.067694627805352</v>
      </c>
      <c r="AF22" s="624">
        <f>(AF20/AD6)*100</f>
        <v>-17.519144378260751</v>
      </c>
      <c r="AG22" s="622"/>
      <c r="AH22" s="623">
        <f>(AH20/AG6)*100</f>
        <v>-33.727921169988676</v>
      </c>
      <c r="AI22" s="624">
        <f>(AI20/AG6)*100</f>
        <v>-38.930818996622932</v>
      </c>
      <c r="AJ22" s="622"/>
      <c r="AK22" s="623">
        <f>(AK20/AJ6)*100</f>
        <v>21.738526289936562</v>
      </c>
      <c r="AL22" s="624">
        <f>(AL20/AJ6)*100</f>
        <v>6.5017313540448374</v>
      </c>
      <c r="AM22" s="630"/>
      <c r="AN22" s="628">
        <f>(AN20/AM6)*100</f>
        <v>19.230933724128814</v>
      </c>
      <c r="AO22" s="629">
        <f>(AO20/AM6)*100</f>
        <v>1.6167737426136208</v>
      </c>
      <c r="AP22" s="622"/>
      <c r="AQ22" s="623">
        <f>(AQ20/AP6)*100</f>
        <v>-3.4205904470021635</v>
      </c>
      <c r="AR22" s="624">
        <f>(AR20/AP6)*100</f>
        <v>7.39730427080067</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25">
      <c r="A23" s="631" t="s">
        <v>1189</v>
      </c>
      <c r="B23" s="523" t="s">
        <v>1346</v>
      </c>
      <c r="C23" s="524">
        <f>C6/('Ввод исходных данных'!$G$45+'Ввод исходных данных'!$D$23)</f>
        <v>268.472400312812</v>
      </c>
      <c r="D23" s="632">
        <f>D6/('Ввод исходных данных'!$G$45+'Ввод исходных данных'!$D$23)</f>
        <v>291.99690986467238</v>
      </c>
      <c r="E23" s="556">
        <f>E6/('Ввод исходных данных'!$G$45+'Ввод исходных данных'!$D$23)</f>
        <v>308.91458728918258</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75" thickBot="1" x14ac:dyDescent="0.3">
      <c r="A24" s="635" t="s">
        <v>874</v>
      </c>
      <c r="B24" s="386" t="s">
        <v>1191</v>
      </c>
      <c r="C24" s="636">
        <f>C7*1000/('Ввод исходных данных'!$G$45+'Ввод исходных данных'!$G$23)</f>
        <v>33.022105238475874</v>
      </c>
      <c r="D24" s="637">
        <f>0.123*D23</f>
        <v>35.915619913354703</v>
      </c>
      <c r="E24" s="638">
        <f>0.123*E23</f>
        <v>37.996494236569454</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25">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17">
        <f>C12</f>
        <v>464906.51396090107</v>
      </c>
      <c r="C27" s="317">
        <f>C15</f>
        <v>181616.27884615384</v>
      </c>
      <c r="D27" s="317">
        <f>C18</f>
        <v>46136</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17">
        <f>D12</f>
        <v>556661.80900000001</v>
      </c>
      <c r="C28" s="317">
        <f>D15</f>
        <v>188890.1484508547</v>
      </c>
      <c r="D28" s="317">
        <f>D18</f>
        <v>7800.07</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17">
        <f>E12</f>
        <v>600309.41675523634</v>
      </c>
      <c r="C29" s="317">
        <f>E15</f>
        <v>188890.1484508547</v>
      </c>
      <c r="D29" s="317">
        <f>E18</f>
        <v>7800.07</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
      <c r="A32" s="1798" t="s">
        <v>1192</v>
      </c>
      <c r="B32" s="1798"/>
      <c r="C32" s="1798"/>
      <c r="D32" s="1798"/>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25">
      <c r="A33" s="1768" t="s">
        <v>834</v>
      </c>
      <c r="B33" s="1778" t="s">
        <v>1174</v>
      </c>
      <c r="C33" s="1776" t="s">
        <v>1175</v>
      </c>
      <c r="D33" s="1774" t="s">
        <v>1176</v>
      </c>
      <c r="E33" s="1772" t="s">
        <v>1177</v>
      </c>
      <c r="F33" s="74"/>
      <c r="G33" s="1770" t="s">
        <v>834</v>
      </c>
      <c r="H33" s="1764" t="s">
        <v>1174</v>
      </c>
      <c r="I33" s="1805" t="s">
        <v>488</v>
      </c>
      <c r="J33" s="1806"/>
      <c r="K33" s="1807"/>
      <c r="L33" s="1805" t="s">
        <v>489</v>
      </c>
      <c r="M33" s="1806"/>
      <c r="N33" s="1807"/>
      <c r="O33" s="1805" t="s">
        <v>490</v>
      </c>
      <c r="P33" s="1806"/>
      <c r="Q33" s="1807"/>
      <c r="R33" s="1805" t="s">
        <v>491</v>
      </c>
      <c r="S33" s="1806"/>
      <c r="T33" s="1807"/>
      <c r="U33" s="1805" t="s">
        <v>805</v>
      </c>
      <c r="V33" s="1806"/>
      <c r="W33" s="1807"/>
      <c r="X33" s="1805" t="s">
        <v>806</v>
      </c>
      <c r="Y33" s="1806"/>
      <c r="Z33" s="1807"/>
      <c r="AA33" s="1805" t="s">
        <v>807</v>
      </c>
      <c r="AB33" s="1806"/>
      <c r="AC33" s="1807"/>
      <c r="AD33" s="1805" t="s">
        <v>808</v>
      </c>
      <c r="AE33" s="1806"/>
      <c r="AF33" s="1807"/>
      <c r="AG33" s="1805" t="s">
        <v>809</v>
      </c>
      <c r="AH33" s="1806"/>
      <c r="AI33" s="1807"/>
      <c r="AJ33" s="1805" t="s">
        <v>482</v>
      </c>
      <c r="AK33" s="1806"/>
      <c r="AL33" s="1807"/>
      <c r="AM33" s="1805" t="s">
        <v>486</v>
      </c>
      <c r="AN33" s="1806"/>
      <c r="AO33" s="1807"/>
      <c r="AP33" s="1805" t="s">
        <v>487</v>
      </c>
      <c r="AQ33" s="1806"/>
      <c r="AR33" s="1807"/>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5" customHeight="1" thickBot="1" x14ac:dyDescent="0.3">
      <c r="A34" s="1769"/>
      <c r="B34" s="1779"/>
      <c r="C34" s="1777"/>
      <c r="D34" s="1775"/>
      <c r="E34" s="1773"/>
      <c r="F34" s="74"/>
      <c r="G34" s="1771"/>
      <c r="H34" s="1765"/>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50000000000003" customHeight="1" thickBot="1" x14ac:dyDescent="0.3">
      <c r="A35" s="649" t="s">
        <v>1194</v>
      </c>
      <c r="B35" s="650" t="s">
        <v>842</v>
      </c>
      <c r="C35" s="324">
        <f>C38+C62+C65+C68-C71</f>
        <v>464906.51396090107</v>
      </c>
      <c r="D35" s="323">
        <f>D36*1163</f>
        <v>556661.80900000001</v>
      </c>
      <c r="E35" s="651">
        <f>D35*'Ввод исходных данных'!$H$264</f>
        <v>600309.41675523634</v>
      </c>
      <c r="F35" s="652"/>
      <c r="G35" s="527" t="s">
        <v>1192</v>
      </c>
      <c r="H35" s="528" t="s">
        <v>842</v>
      </c>
      <c r="I35" s="327">
        <f>I38+I62+I65+I68-I71</f>
        <v>92465.672662644196</v>
      </c>
      <c r="J35" s="529">
        <f>J36*1163</f>
        <v>91112.909</v>
      </c>
      <c r="K35" s="653">
        <f>K36*1163</f>
        <v>98507.984309341511</v>
      </c>
      <c r="L35" s="328">
        <f>L38+L62+L65+L68-L71</f>
        <v>79236.477586671914</v>
      </c>
      <c r="M35" s="529">
        <f>M36*1163</f>
        <v>89551</v>
      </c>
      <c r="N35" s="653">
        <f>N36*1163</f>
        <v>98784.572831423895</v>
      </c>
      <c r="O35" s="327">
        <f>O38+O62+O65+O68-O71</f>
        <v>66101.800757105011</v>
      </c>
      <c r="P35" s="529">
        <f>P36*1163</f>
        <v>58150</v>
      </c>
      <c r="Q35" s="654">
        <f>Q36*1163</f>
        <v>65914.984972091028</v>
      </c>
      <c r="R35" s="328">
        <f>R38+R62+R65+R68-R71</f>
        <v>33582.709446123874</v>
      </c>
      <c r="S35" s="653">
        <f>S36*1163</f>
        <v>53963.199999999997</v>
      </c>
      <c r="T35" s="653">
        <f>T36*1163</f>
        <v>107789.95701643488</v>
      </c>
      <c r="U35" s="327">
        <f>U38+U62+U65+U68-U71</f>
        <v>-4840.1798067887194</v>
      </c>
      <c r="V35" s="529">
        <f>V36*1163</f>
        <v>45357</v>
      </c>
      <c r="W35" s="655">
        <f>W36*1163</f>
        <v>10800.113880368101</v>
      </c>
      <c r="X35" s="327">
        <f>X38+X62+X65+X68-X71</f>
        <v>0</v>
      </c>
      <c r="Y35" s="529">
        <f>Y36*1163</f>
        <v>-13083.75</v>
      </c>
      <c r="Z35" s="656">
        <f>Z36*1163</f>
        <v>0</v>
      </c>
      <c r="AA35" s="327">
        <f>AA38+AA62+AA65+AA68-AA71</f>
        <v>0</v>
      </c>
      <c r="AB35" s="529">
        <f>AB36*1163</f>
        <v>-13083.75</v>
      </c>
      <c r="AC35" s="656">
        <f>AC36*1163</f>
        <v>0</v>
      </c>
      <c r="AD35" s="327">
        <f>AD38+AD62+AD65+AD68-AD71</f>
        <v>0</v>
      </c>
      <c r="AE35" s="529">
        <f>AE36*1163</f>
        <v>-13083.75</v>
      </c>
      <c r="AF35" s="656">
        <f>AF36*1163</f>
        <v>0</v>
      </c>
      <c r="AG35" s="327">
        <f>AG38+AG62+AG65+AG68-AG71</f>
        <v>3354.0119749344894</v>
      </c>
      <c r="AH35" s="529">
        <f>AH36*1163</f>
        <v>1163</v>
      </c>
      <c r="AI35" s="656">
        <f>AI36*1163</f>
        <v>0</v>
      </c>
      <c r="AJ35" s="327">
        <f>AJ38+AJ62+AJ65+AJ68-AJ71</f>
        <v>34203.822774815446</v>
      </c>
      <c r="AK35" s="529">
        <f>AK36*1163</f>
        <v>50823.100000000006</v>
      </c>
      <c r="AL35" s="654">
        <f>AL36*1163</f>
        <v>42374.630487593269</v>
      </c>
      <c r="AM35" s="327">
        <f>AM38+AM62+AM65+AM68-AM71</f>
        <v>61102.8077019966</v>
      </c>
      <c r="AN35" s="529">
        <f>AN36*1163</f>
        <v>81177.399999999994</v>
      </c>
      <c r="AO35" s="654">
        <f>AO36*1163</f>
        <v>66771.566062176164</v>
      </c>
      <c r="AP35" s="327">
        <f>AP38+AP62+AP65+AP68-AP71</f>
        <v>84171.420827193651</v>
      </c>
      <c r="AQ35" s="529">
        <f>AQ36*1163</f>
        <v>85364.200000000012</v>
      </c>
      <c r="AR35" s="656">
        <f>AR36*1163</f>
        <v>96767.928147889776</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5" customHeight="1" x14ac:dyDescent="0.25">
      <c r="A36" s="358" t="s">
        <v>874</v>
      </c>
      <c r="B36" s="359" t="s">
        <v>1184</v>
      </c>
      <c r="C36" s="658">
        <f>0.86*C35/1000</f>
        <v>399.81960200637491</v>
      </c>
      <c r="D36" s="559">
        <f>'Ввод исходных данных'!J198</f>
        <v>478.64300000000003</v>
      </c>
      <c r="E36" s="659">
        <f>0.86*E35/1000</f>
        <v>516.26609840950323</v>
      </c>
      <c r="F36" s="660"/>
      <c r="G36" s="379" t="s">
        <v>874</v>
      </c>
      <c r="H36" s="380" t="s">
        <v>1184</v>
      </c>
      <c r="I36" s="661">
        <f>0.86*I35/1000</f>
        <v>79.520478489874009</v>
      </c>
      <c r="J36" s="662">
        <f>'Ввод исходных данных'!$J$186</f>
        <v>78.343000000000004</v>
      </c>
      <c r="K36" s="651">
        <f>(J36)*'Ввод исходных данных'!$H$252</f>
        <v>84.701620214395106</v>
      </c>
      <c r="L36" s="661">
        <f>0.86*L35/1000</f>
        <v>68.143370724537846</v>
      </c>
      <c r="M36" s="98">
        <f>'Ввод исходных данных'!$J$187</f>
        <v>77</v>
      </c>
      <c r="N36" s="651">
        <f>(M36)*'Ввод исходных данных'!$H$253</f>
        <v>84.939443535188218</v>
      </c>
      <c r="O36" s="661">
        <f>0.86*O35/1000</f>
        <v>56.847548651110309</v>
      </c>
      <c r="P36" s="98">
        <f>'Ввод исходных данных'!$J$188</f>
        <v>50</v>
      </c>
      <c r="Q36" s="651">
        <f>(P36)*'Ввод исходных данных'!$H$254</f>
        <v>56.676685272649209</v>
      </c>
      <c r="R36" s="661">
        <f>0.86*R35/1000</f>
        <v>28.88113012366653</v>
      </c>
      <c r="S36" s="98">
        <f>'Ввод исходных данных'!$J$189</f>
        <v>46.4</v>
      </c>
      <c r="T36" s="651">
        <f>(S36)*'Ввод исходных данных'!$H$255</f>
        <v>92.682680151706691</v>
      </c>
      <c r="U36" s="384"/>
      <c r="V36" s="98">
        <f>'Ввод исходных данных'!$J$190</f>
        <v>39</v>
      </c>
      <c r="W36" s="651">
        <f>(V36)*'Ввод исходных данных'!$H$256</f>
        <v>9.2864263803681002</v>
      </c>
      <c r="X36" s="382"/>
      <c r="Y36" s="98">
        <f>'Ввод исходных данных'!$J$191</f>
        <v>-11.25</v>
      </c>
      <c r="Z36" s="651">
        <f>(Y36)*'Ввод исходных данных'!$H$257</f>
        <v>0</v>
      </c>
      <c r="AA36" s="384"/>
      <c r="AB36" s="98">
        <f>'Ввод исходных данных'!$J$192</f>
        <v>-11.25</v>
      </c>
      <c r="AC36" s="651">
        <f>(AB36)*'Ввод исходных данных'!$H$258</f>
        <v>0</v>
      </c>
      <c r="AD36" s="382"/>
      <c r="AE36" s="98">
        <f>'Ввод исходных данных'!$J$193</f>
        <v>-11.25</v>
      </c>
      <c r="AF36" s="651">
        <f>(AE36)*'Ввод исходных данных'!$H$259</f>
        <v>0</v>
      </c>
      <c r="AG36" s="384"/>
      <c r="AH36" s="98">
        <f>'Ввод исходных данных'!$J$194</f>
        <v>1</v>
      </c>
      <c r="AI36" s="651">
        <f>(AH36)*'Ввод исходных данных'!$H$260</f>
        <v>0</v>
      </c>
      <c r="AJ36" s="661">
        <f>0.86*AJ35/1000</f>
        <v>29.415287586341286</v>
      </c>
      <c r="AK36" s="663">
        <f>'Ввод исходных данных'!$J$195</f>
        <v>43.7</v>
      </c>
      <c r="AL36" s="651">
        <f>(AK36)*'Ввод исходных данных'!$H$261</f>
        <v>36.435623807044941</v>
      </c>
      <c r="AM36" s="661">
        <f>0.86*AM35/1000</f>
        <v>52.548414623717079</v>
      </c>
      <c r="AN36" s="663">
        <f>'Ввод исходных данных'!$J$196</f>
        <v>69.8</v>
      </c>
      <c r="AO36" s="651">
        <f>(AN36)*'Ввод исходных данных'!$H$262</f>
        <v>57.413212435233156</v>
      </c>
      <c r="AP36" s="661">
        <f>0.86*AP35/1000</f>
        <v>72.387421911386539</v>
      </c>
      <c r="AQ36" s="663">
        <f>'Ввод исходных данных'!$J$197</f>
        <v>73.400000000000006</v>
      </c>
      <c r="AR36" s="651">
        <f>(AQ36)*'Ввод исходных данных'!$H$263</f>
        <v>83.205441227764211</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75" thickBot="1" x14ac:dyDescent="0.3">
      <c r="A37" s="358" t="s">
        <v>874</v>
      </c>
      <c r="B37" s="359" t="s">
        <v>1181</v>
      </c>
      <c r="C37" s="378"/>
      <c r="D37" s="664">
        <f>D39+D63+D66+D69-D72</f>
        <v>478.72915574000012</v>
      </c>
      <c r="E37" s="664">
        <f>E39+E63+E66+E69-E72</f>
        <v>516.26609840950334</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50000000000003" customHeight="1" x14ac:dyDescent="0.25">
      <c r="A38" s="671" t="s">
        <v>1195</v>
      </c>
      <c r="B38" s="650" t="s">
        <v>842</v>
      </c>
      <c r="C38" s="330">
        <f>C41+C44+C47+C50+C53+C56+C59</f>
        <v>334488.2894206128</v>
      </c>
      <c r="D38" s="672">
        <f>$C38*(($D$35+$D$71)/($C$35+$C$71))</f>
        <v>383735.90896517504</v>
      </c>
      <c r="E38" s="672">
        <f>$C38*(($E$35+$E$71)/($C$35+$C$71))</f>
        <v>407162.79435466882</v>
      </c>
      <c r="F38" s="673"/>
      <c r="G38" s="527" t="s">
        <v>1196</v>
      </c>
      <c r="H38" s="674" t="s">
        <v>842</v>
      </c>
      <c r="I38" s="330">
        <f>I41+I44+I47+I50+I53+I56+I59</f>
        <v>63457.730468087684</v>
      </c>
      <c r="J38" s="672">
        <f>I38*((J$35+J$71)/(I$35+I$71))</f>
        <v>62709.116141307801</v>
      </c>
      <c r="K38" s="672">
        <f>IFERROR(I38*((K$35+K$71)/(I$35+I$71)),0)</f>
        <v>66801.523024390495</v>
      </c>
      <c r="L38" s="330">
        <f>L41+L44+L47+L50+L53+L56+L59</f>
        <v>54718.737521417846</v>
      </c>
      <c r="M38" s="672">
        <f>L38*((M$35+M$71)/(L$35+L$71))</f>
        <v>60402.978539470234</v>
      </c>
      <c r="N38" s="672">
        <f>IFERROR(L38*((N$35+N$71)/(L$35+L$71)),0)</f>
        <v>65491.517914180731</v>
      </c>
      <c r="O38" s="330">
        <f>O41+O44+O47+O50+O53+O56+O59</f>
        <v>47458.472644688794</v>
      </c>
      <c r="P38" s="672">
        <f>O38*((P$35+P$71)/(O$35+O$71))</f>
        <v>43184.907499707202</v>
      </c>
      <c r="Q38" s="672">
        <f>IFERROR(O38*((Q$35+Q$71)/(O$35+O$71)),0)</f>
        <v>47358.071559229662</v>
      </c>
      <c r="R38" s="330">
        <f>R41+R44+R47+R50+R53+R56+R59</f>
        <v>27486.945300076364</v>
      </c>
      <c r="S38" s="672">
        <f>R38*((S$35+S$71)/(R$35+R$71))</f>
        <v>37659.334394785146</v>
      </c>
      <c r="T38" s="672">
        <f>IFERROR(R38*((T$35+T$71)/(R$35+R$71)),0)</f>
        <v>64525.553077307719</v>
      </c>
      <c r="U38" s="330">
        <f>U41+U44+U47+U50+U53+U56+U59</f>
        <v>1800.5688851632299</v>
      </c>
      <c r="V38" s="672">
        <f>IFERROR(U38*((V$35+V$71)/(U$35+U$71)),0)</f>
        <v>11329.725447240295</v>
      </c>
      <c r="W38" s="672">
        <f>IFERROR(U38*((W$35+W$71)/(U$35+U$71)),0)</f>
        <v>4769.6362271023636</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2035.4256962714771</v>
      </c>
      <c r="AH38" s="672">
        <f>IFERROR(AG38*((AH$35+AH$71)/(AG$35+AG$71)),0)</f>
        <v>705.78164373130005</v>
      </c>
      <c r="AI38" s="672">
        <f>IFERROR(AG38*((AI$35+AI$71)/(AG$35+AG$71)),0)</f>
        <v>0</v>
      </c>
      <c r="AJ38" s="330">
        <f>AJ41+AJ44+AJ47+AJ50+AJ53+AJ56+AJ59</f>
        <v>27863.875984571077</v>
      </c>
      <c r="AK38" s="672">
        <f>IFERROR(AJ38*((AK$35+AK$71)/(AJ$35+AJ$71)),0)</f>
        <v>36178.923280532355</v>
      </c>
      <c r="AL38" s="672">
        <f>IFERROR(AJ38*((AL$35+AL$71)/(AJ$35+AJ$71)),0)</f>
        <v>31951.939000632734</v>
      </c>
      <c r="AM38" s="330">
        <f>AM41+AM44+AM47+AM50+AM53+AM56+AM59</f>
        <v>44187.874089996163</v>
      </c>
      <c r="AN38" s="672">
        <f>IFERROR(AM38*((AN$35+AN$71)/(AM$35+AM$71)),0)</f>
        <v>54928.258140915583</v>
      </c>
      <c r="AO38" s="672">
        <f>IFERROR(AM38*((AO$35+AO$71)/(AM$35+AM$71)),0)</f>
        <v>47220.794558634727</v>
      </c>
      <c r="AP38" s="330">
        <f>AP41+AP44+AP47+AP50+AP53+AP56+AP59</f>
        <v>58424.256096681289</v>
      </c>
      <c r="AQ38" s="672">
        <f>IFERROR(AP38*((AQ$35+AQ$71)/(AP$35+AP$71)),0)</f>
        <v>59079.363049431944</v>
      </c>
      <c r="AR38" s="672">
        <f>IFERROR(AP38*((AR$35+AR$71)/(AP$35+AP$71)),0)</f>
        <v>65342.602521818131</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25">
      <c r="A39" s="358" t="s">
        <v>874</v>
      </c>
      <c r="B39" s="359" t="s">
        <v>1184</v>
      </c>
      <c r="C39" s="558">
        <f>0.86*C38/1000</f>
        <v>287.65992890172703</v>
      </c>
      <c r="D39" s="377">
        <f>0.86*D38/1000</f>
        <v>330.01288171005052</v>
      </c>
      <c r="E39" s="676">
        <f>0.86*E38/1000</f>
        <v>350.16000314501514</v>
      </c>
      <c r="F39" s="677"/>
      <c r="G39" s="379" t="s">
        <v>874</v>
      </c>
      <c r="H39" s="678" t="s">
        <v>1184</v>
      </c>
      <c r="I39" s="679">
        <f t="shared" ref="I39:W39" si="23">0.86*I38/1000</f>
        <v>54.573648202555404</v>
      </c>
      <c r="J39" s="680">
        <f t="shared" si="23"/>
        <v>53.929839881524707</v>
      </c>
      <c r="K39" s="681">
        <f t="shared" si="23"/>
        <v>57.449309800975826</v>
      </c>
      <c r="L39" s="682">
        <f t="shared" si="23"/>
        <v>47.058114268419345</v>
      </c>
      <c r="M39" s="683">
        <f t="shared" si="23"/>
        <v>51.946561543944398</v>
      </c>
      <c r="N39" s="681">
        <f t="shared" si="23"/>
        <v>56.322705406195425</v>
      </c>
      <c r="O39" s="684">
        <f t="shared" si="23"/>
        <v>40.814286474432357</v>
      </c>
      <c r="P39" s="681">
        <f t="shared" si="23"/>
        <v>37.139020449748188</v>
      </c>
      <c r="Q39" s="681">
        <f t="shared" si="23"/>
        <v>40.727941540937508</v>
      </c>
      <c r="R39" s="685">
        <f t="shared" si="23"/>
        <v>23.638772958065672</v>
      </c>
      <c r="S39" s="680">
        <f t="shared" si="23"/>
        <v>32.387027579515227</v>
      </c>
      <c r="T39" s="686">
        <f t="shared" si="23"/>
        <v>55.491975646484633</v>
      </c>
      <c r="U39" s="687">
        <f t="shared" si="23"/>
        <v>1.5484892412403777</v>
      </c>
      <c r="V39" s="680">
        <f t="shared" si="23"/>
        <v>9.7435638846266546</v>
      </c>
      <c r="W39" s="686">
        <f t="shared" si="23"/>
        <v>4.1018871553080327</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1.7504660987934704</v>
      </c>
      <c r="AH39" s="680">
        <f t="shared" ref="AH39" si="27">0.86*AH38/1000</f>
        <v>0.60697221360891807</v>
      </c>
      <c r="AI39" s="686">
        <f>0.86*AI38/1000</f>
        <v>0</v>
      </c>
      <c r="AJ39" s="682">
        <f>0.86*AJ38/1000</f>
        <v>23.962933346731127</v>
      </c>
      <c r="AK39" s="680">
        <f t="shared" ref="AK39:AN39" si="28">0.86*AK38/1000</f>
        <v>31.113874021257828</v>
      </c>
      <c r="AL39" s="686">
        <f t="shared" si="28"/>
        <v>27.478667540544148</v>
      </c>
      <c r="AM39" s="688">
        <f>0.86*AM38/1000</f>
        <v>38.0015717173967</v>
      </c>
      <c r="AN39" s="680">
        <f t="shared" si="28"/>
        <v>47.238302001187407</v>
      </c>
      <c r="AO39" s="686">
        <f t="shared" ref="AO39" si="29">0.86*AO38/1000</f>
        <v>40.609883320425865</v>
      </c>
      <c r="AP39" s="682">
        <f>0.86*AP38/1000</f>
        <v>50.244860243145908</v>
      </c>
      <c r="AQ39" s="680">
        <f t="shared" ref="AQ39:AR39" si="30">0.86*AQ38/1000</f>
        <v>50.80825222251147</v>
      </c>
      <c r="AR39" s="686">
        <f t="shared" si="30"/>
        <v>56.194638168763596</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75" thickBot="1" x14ac:dyDescent="0.3">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25">
      <c r="A41" s="332" t="s">
        <v>1197</v>
      </c>
      <c r="B41" s="322" t="s">
        <v>842</v>
      </c>
      <c r="C41" s="333">
        <f>IF(C134=0,0,B134/C134*D134)*0.024*$D$147</f>
        <v>223117.3724538091</v>
      </c>
      <c r="D41" s="706">
        <f>C41*($D$38/$C$38)</f>
        <v>255967.54933569802</v>
      </c>
      <c r="E41" s="707">
        <f>C41*($E$38/$C$38)</f>
        <v>271594.24024895625</v>
      </c>
      <c r="F41" s="74"/>
      <c r="G41" s="334" t="s">
        <v>1197</v>
      </c>
      <c r="H41" s="326" t="s">
        <v>842</v>
      </c>
      <c r="I41" s="335">
        <f>IF($C134=0,0,$B134/$C134*$D134)*0.024*G$147</f>
        <v>42328.902182036247</v>
      </c>
      <c r="J41" s="610">
        <f>I41*($J$38/$I$38)</f>
        <v>41829.545801393666</v>
      </c>
      <c r="K41" s="708">
        <f>I41*($K$38/$I$38)</f>
        <v>44559.348606588748</v>
      </c>
      <c r="L41" s="335">
        <f>IF($C134=0,0,$B134/$C134*$D134)*0.024*H$147</f>
        <v>36499.636387617116</v>
      </c>
      <c r="M41" s="709">
        <f>L41*($M$38/$L$38)</f>
        <v>40291.257680365001</v>
      </c>
      <c r="N41" s="710">
        <f>L41*($N$38/$L$38)</f>
        <v>43685.521607750168</v>
      </c>
      <c r="O41" s="335">
        <f>IF($C134=0,0,$B134/$C134*$D134)*0.024*I$147</f>
        <v>31656.74270837838</v>
      </c>
      <c r="P41" s="711">
        <f>O41*($P$38/$O$38)</f>
        <v>28806.099931586101</v>
      </c>
      <c r="Q41" s="712">
        <f>O41*($Q$38/$O$38)</f>
        <v>31589.771077120513</v>
      </c>
      <c r="R41" s="335">
        <f>IF($C134=0,0,$B134/$C134*$D134)*0.024*J$147</f>
        <v>18334.916964530003</v>
      </c>
      <c r="S41" s="711">
        <f>R41*($S$38/$R$38)</f>
        <v>25120.316627760603</v>
      </c>
      <c r="T41" s="712">
        <f>R41*($T$38/$R$38)</f>
        <v>43041.183545394677</v>
      </c>
      <c r="U41" s="335">
        <f>IF($C134=0,0,$B134/$C134*$D134)*0.024*K$147</f>
        <v>1201.0531049549716</v>
      </c>
      <c r="V41" s="711">
        <f>IFERROR(U41*($V$38/$U$38),0)</f>
        <v>7557.3903552497068</v>
      </c>
      <c r="W41" s="712">
        <f>IFERROR(U41*($W$38/$U$38),0)</f>
        <v>3181.5424820848698</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1357.7122056012722</v>
      </c>
      <c r="AH41" s="711">
        <f>IFERROR(AG41*($AH$38/$AG$38),0)</f>
        <v>470.78522882886273</v>
      </c>
      <c r="AI41" s="712">
        <f>IFERROR(AG41*($AI$35/$AG$35),0)</f>
        <v>0</v>
      </c>
      <c r="AJ41" s="335">
        <f>IF($C134=0,0,$B134/$C134*$D134)*0.024*P$147</f>
        <v>18586.345150752459</v>
      </c>
      <c r="AK41" s="711">
        <f>AJ41*($AK$38/$AJ$38)</f>
        <v>24132.821853173307</v>
      </c>
      <c r="AL41" s="712">
        <f>IFERROR(AJ41*($AL$38/$AJ$38),0)</f>
        <v>21313.250418943477</v>
      </c>
      <c r="AM41" s="335">
        <f>IF($C134=0,0,$B134/$C134*$D134)*0.024*Q$147</f>
        <v>29475.119677155824</v>
      </c>
      <c r="AN41" s="711">
        <f>AM41*($AN$38/$AM$38)</f>
        <v>36639.395211993913</v>
      </c>
      <c r="AO41" s="712">
        <f>AM41*($AO$38/$AM$38)</f>
        <v>31498.201701929131</v>
      </c>
      <c r="AP41" s="335">
        <f>IF($C134=0,0,$B134/$C134*$D134)*0.024*R$147</f>
        <v>38971.368864480966</v>
      </c>
      <c r="AQ41" s="711">
        <f>AP41*($AQ$38/$AP$38)</f>
        <v>39408.352001400737</v>
      </c>
      <c r="AR41" s="712">
        <f>AP41*($AR$38/$AP$38)</f>
        <v>43586.188949140742</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25">
      <c r="A42" s="358" t="s">
        <v>874</v>
      </c>
      <c r="B42" s="359" t="s">
        <v>1184</v>
      </c>
      <c r="C42" s="558">
        <f>0.86*C41/1000</f>
        <v>191.88094031027583</v>
      </c>
      <c r="D42" s="377">
        <f>0.86*D41/1000</f>
        <v>220.1320924287003</v>
      </c>
      <c r="E42" s="676">
        <f>0.86*E41/1000</f>
        <v>233.57104661410239</v>
      </c>
      <c r="F42" s="74"/>
      <c r="G42" s="379" t="s">
        <v>874</v>
      </c>
      <c r="H42" s="380" t="s">
        <v>1184</v>
      </c>
      <c r="I42" s="688">
        <f t="shared" ref="I42:W42" si="31">0.86*I41/1000</f>
        <v>36.402855876551172</v>
      </c>
      <c r="J42" s="680">
        <f t="shared" si="31"/>
        <v>35.973409389198551</v>
      </c>
      <c r="K42" s="713">
        <f t="shared" si="31"/>
        <v>38.321039801666323</v>
      </c>
      <c r="L42" s="688">
        <f t="shared" ref="L42" si="32">0.86*L41/1000</f>
        <v>31.389687293350718</v>
      </c>
      <c r="M42" s="683">
        <f t="shared" si="31"/>
        <v>34.650481605113896</v>
      </c>
      <c r="N42" s="683">
        <f t="shared" si="31"/>
        <v>37.569548582665142</v>
      </c>
      <c r="O42" s="682">
        <f t="shared" si="31"/>
        <v>27.224798729205407</v>
      </c>
      <c r="P42" s="714">
        <f t="shared" si="31"/>
        <v>24.773245941164046</v>
      </c>
      <c r="Q42" s="714">
        <f t="shared" si="31"/>
        <v>27.167203126323642</v>
      </c>
      <c r="R42" s="688">
        <f t="shared" si="31"/>
        <v>15.768028589495801</v>
      </c>
      <c r="S42" s="680">
        <f t="shared" si="31"/>
        <v>21.60347229987412</v>
      </c>
      <c r="T42" s="686">
        <f t="shared" si="31"/>
        <v>37.015417849039416</v>
      </c>
      <c r="U42" s="688">
        <f t="shared" si="31"/>
        <v>1.0329056702612753</v>
      </c>
      <c r="V42" s="680">
        <f t="shared" si="31"/>
        <v>6.4993557055147475</v>
      </c>
      <c r="W42" s="686">
        <f t="shared" si="31"/>
        <v>2.7361265345929877</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1.1676324968170941</v>
      </c>
      <c r="AH42" s="680">
        <f t="shared" si="36"/>
        <v>0.40487529679282191</v>
      </c>
      <c r="AI42" s="686">
        <f>0.86*AI41/1000</f>
        <v>0</v>
      </c>
      <c r="AJ42" s="688">
        <f t="shared" ref="AJ42" si="37">0.86*AJ41/1000</f>
        <v>15.984256829647114</v>
      </c>
      <c r="AK42" s="680">
        <f t="shared" ref="AK42" si="38">0.86*AK41/1000</f>
        <v>20.754226793729046</v>
      </c>
      <c r="AL42" s="686">
        <f t="shared" ref="AL42:AM42" si="39">0.86*AL41/1000</f>
        <v>18.329395360291389</v>
      </c>
      <c r="AM42" s="688">
        <f t="shared" si="39"/>
        <v>25.348602922354011</v>
      </c>
      <c r="AN42" s="680">
        <f t="shared" ref="AN42" si="40">0.86*AN41/1000</f>
        <v>31.509879882314767</v>
      </c>
      <c r="AO42" s="686">
        <f t="shared" ref="AO42:AP42" si="41">0.86*AO41/1000</f>
        <v>27.08845346365905</v>
      </c>
      <c r="AP42" s="688">
        <f t="shared" si="41"/>
        <v>33.515377223453633</v>
      </c>
      <c r="AQ42" s="680">
        <f t="shared" ref="AQ42" si="42">0.86*AQ41/1000</f>
        <v>33.891182721204636</v>
      </c>
      <c r="AR42" s="686">
        <f t="shared" ref="AR42" si="43">0.86*AR41/1000</f>
        <v>37.484122496261037</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75" thickBot="1" x14ac:dyDescent="0.3">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25">
      <c r="A44" s="332" t="s">
        <v>1199</v>
      </c>
      <c r="B44" s="322" t="s">
        <v>842</v>
      </c>
      <c r="C44" s="333">
        <f>IF(C135=0,0,B135/C135*D135)*0.024*$D$147</f>
        <v>51002.14736842105</v>
      </c>
      <c r="D44" s="706">
        <f>C44*($D$38/$C$38)</f>
        <v>58511.332081304186</v>
      </c>
      <c r="E44" s="707">
        <f>C44*($E$38/$C$38)</f>
        <v>62083.419651507902</v>
      </c>
      <c r="F44" s="74"/>
      <c r="G44" s="334" t="s">
        <v>1199</v>
      </c>
      <c r="H44" s="326" t="s">
        <v>842</v>
      </c>
      <c r="I44" s="335">
        <f>IF($C135=0,0,$B135/$C135*$D135)*0.024*G$147</f>
        <v>9675.9157894736836</v>
      </c>
      <c r="J44" s="610">
        <f>I44*($J$38/$I$38)</f>
        <v>9561.7684802130989</v>
      </c>
      <c r="K44" s="708">
        <f>I44*($K$38/$I$38)</f>
        <v>10185.771010478247</v>
      </c>
      <c r="L44" s="335">
        <f>IF($C135=0,0,$B135/$C135*$D135)*0.024*H$147</f>
        <v>8343.410526315789</v>
      </c>
      <c r="M44" s="709">
        <f>L44*($M$38/$L$38)</f>
        <v>9210.1329415683504</v>
      </c>
      <c r="N44" s="710">
        <f>L44*($N$38/$L$38)</f>
        <v>9986.0238868942361</v>
      </c>
      <c r="O44" s="335">
        <f>IF($C135=0,0,$B135/$C135*$D135)*0.024*I$147</f>
        <v>7236.3789473684201</v>
      </c>
      <c r="P44" s="711">
        <f>O44*($P$38/$O$38)</f>
        <v>6584.7537449123274</v>
      </c>
      <c r="Q44" s="712">
        <f>O44*($Q$38/$O$38)</f>
        <v>7221.0699780606874</v>
      </c>
      <c r="R44" s="335">
        <f>IF($C135=0,0,$B135/$C135*$D135)*0.024*J$147</f>
        <v>4191.1578947368416</v>
      </c>
      <c r="S44" s="711">
        <f>R44*($S$38/$R$38)</f>
        <v>5742.2247156289113</v>
      </c>
      <c r="T44" s="712">
        <f>R44*($T$38/$R$38)</f>
        <v>9838.7353792808699</v>
      </c>
      <c r="U44" s="335">
        <f>IF($C135=0,0,$B135/$C135*$D135)*0.024*K$147</f>
        <v>274.54736842105262</v>
      </c>
      <c r="V44" s="711">
        <f>IFERROR(U44*($V$38/$U$38),0)</f>
        <v>1727.5352984847736</v>
      </c>
      <c r="W44" s="712">
        <f>IFERROR(U44*($W$38/$U$38),0)</f>
        <v>727.26519116649104</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310.35789473684207</v>
      </c>
      <c r="AH44" s="711">
        <f>IFERROR(AG44*($AH$38/$AG$38),0)</f>
        <v>107.61626203973148</v>
      </c>
      <c r="AI44" s="712">
        <f>IFERROR(AG44*($AI$35/$AG$35),0)</f>
        <v>0</v>
      </c>
      <c r="AJ44" s="335">
        <f>IF($C135=0,0,$B135/$C135*$D135)*0.024*P$147</f>
        <v>4248.6315789473683</v>
      </c>
      <c r="AK44" s="711">
        <f>AJ44*($AK$38/$AJ$38)</f>
        <v>5516.4944039765842</v>
      </c>
      <c r="AL44" s="712">
        <f>IFERROR(AJ44*($AL$38/$AJ$38),0)</f>
        <v>4871.9717645117826</v>
      </c>
      <c r="AM44" s="335">
        <f>IF($C135=0,0,$B135/$C135*$D135)*0.024*Q$147</f>
        <v>6737.6842105263149</v>
      </c>
      <c r="AN44" s="711">
        <f>AM44*($AN$38/$AM$38)</f>
        <v>8375.3578376278147</v>
      </c>
      <c r="AO44" s="712">
        <f>AM44*($AO$38/$AM$38)</f>
        <v>7200.1382383374075</v>
      </c>
      <c r="AP44" s="335">
        <f>IF($C135=0,0,$B135/$C135*$D135)*0.024*R$147</f>
        <v>8908.4210526315783</v>
      </c>
      <c r="AQ44" s="711">
        <f>AP44*($AQ$38/$AP$38)</f>
        <v>9008.3105327809153</v>
      </c>
      <c r="AR44" s="712">
        <f>AP44*($AR$38/$AP$38)</f>
        <v>9963.3175470105343</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25">
      <c r="A45" s="358" t="s">
        <v>874</v>
      </c>
      <c r="B45" s="359" t="s">
        <v>1184</v>
      </c>
      <c r="C45" s="558">
        <f>0.86*C44/1000</f>
        <v>43.861846736842104</v>
      </c>
      <c r="D45" s="377">
        <f>0.86*D44/1000</f>
        <v>50.319745589921602</v>
      </c>
      <c r="E45" s="676">
        <f>0.86*E44/1000</f>
        <v>53.391740900296796</v>
      </c>
      <c r="F45" s="74"/>
      <c r="G45" s="379" t="s">
        <v>874</v>
      </c>
      <c r="H45" s="380" t="s">
        <v>1184</v>
      </c>
      <c r="I45" s="688">
        <f t="shared" ref="I45:O45" si="44">0.86*I44/1000</f>
        <v>8.3212875789473681</v>
      </c>
      <c r="J45" s="680">
        <f t="shared" si="44"/>
        <v>8.223120892983264</v>
      </c>
      <c r="K45" s="713">
        <f t="shared" si="44"/>
        <v>8.7597630690112922</v>
      </c>
      <c r="L45" s="688">
        <f t="shared" ref="L45" si="45">0.86*L44/1000</f>
        <v>7.1753330526315784</v>
      </c>
      <c r="M45" s="683">
        <f t="shared" si="44"/>
        <v>7.9207143297487814</v>
      </c>
      <c r="N45" s="683">
        <f t="shared" si="44"/>
        <v>8.5879805427290439</v>
      </c>
      <c r="O45" s="688">
        <f t="shared" si="44"/>
        <v>6.2232858947368417</v>
      </c>
      <c r="P45" s="717">
        <f t="shared" ref="P45:P57" si="46">O45*($P$35/$O$35)</f>
        <v>5.4746477498958281</v>
      </c>
      <c r="Q45" s="718">
        <f t="shared" ref="Q45" si="47">O45*($Q$35/$O$35)</f>
        <v>6.2056977499892607</v>
      </c>
      <c r="R45" s="688">
        <f t="shared" ref="R45" si="48">0.86*R44/1000</f>
        <v>3.6043957894736836</v>
      </c>
      <c r="S45" s="680">
        <f>0.86*S44/1000</f>
        <v>4.938313255440864</v>
      </c>
      <c r="T45" s="686">
        <f>0.86*T44/1000</f>
        <v>8.4613124261815482</v>
      </c>
      <c r="U45" s="688">
        <f t="shared" ref="U45:W45" si="49">0.86*U44/1000</f>
        <v>0.23611073684210523</v>
      </c>
      <c r="V45" s="680">
        <f t="shared" si="49"/>
        <v>1.4856803566969055</v>
      </c>
      <c r="W45" s="686">
        <f t="shared" si="49"/>
        <v>0.62544806440318224</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0.26690778947368421</v>
      </c>
      <c r="AH45" s="680">
        <f t="shared" si="53"/>
        <v>9.254998535416907E-2</v>
      </c>
      <c r="AI45" s="686">
        <f>0.86*AI44/1000</f>
        <v>0</v>
      </c>
      <c r="AJ45" s="688">
        <f t="shared" ref="AJ45" si="54">0.86*AJ44/1000</f>
        <v>3.6538231578947364</v>
      </c>
      <c r="AK45" s="680">
        <f t="shared" ref="AK45" si="55">0.86*AK44/1000</f>
        <v>4.7441851874198617</v>
      </c>
      <c r="AL45" s="686">
        <f t="shared" ref="AL45:AM45" si="56">0.86*AL44/1000</f>
        <v>4.189895717480133</v>
      </c>
      <c r="AM45" s="688">
        <f t="shared" si="56"/>
        <v>5.7944084210526308</v>
      </c>
      <c r="AN45" s="680">
        <f t="shared" ref="AN45" si="57">0.86*AN44/1000</f>
        <v>7.2028077403599209</v>
      </c>
      <c r="AO45" s="686">
        <f t="shared" ref="AO45:AP45" si="58">0.86*AO44/1000</f>
        <v>6.1921188849701698</v>
      </c>
      <c r="AP45" s="688">
        <f t="shared" si="58"/>
        <v>7.661242105263157</v>
      </c>
      <c r="AQ45" s="680">
        <f t="shared" ref="AQ45" si="59">0.86*AQ44/1000</f>
        <v>7.7471470581915876</v>
      </c>
      <c r="AR45" s="686">
        <f t="shared" ref="AR45" si="60">0.86*AR44/1000</f>
        <v>8.5684530904290579</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25">
      <c r="A47" s="332" t="s">
        <v>1201</v>
      </c>
      <c r="B47" s="322" t="s">
        <v>842</v>
      </c>
      <c r="C47" s="333">
        <f>IF(C136=0,0,B136/C136*D136)*0.024*$D$147</f>
        <v>4027.1825454545456</v>
      </c>
      <c r="D47" s="706">
        <f>C47*($D$35/$C$35)</f>
        <v>4821.998947329198</v>
      </c>
      <c r="E47" s="707">
        <f>C47*($E$38/$C$38)</f>
        <v>4902.1713179372473</v>
      </c>
      <c r="F47" s="74"/>
      <c r="G47" s="334" t="s">
        <v>1201</v>
      </c>
      <c r="H47" s="326" t="s">
        <v>842</v>
      </c>
      <c r="I47" s="335">
        <f>IF($C136=0,0,$B136/$C136*$D136)*0.024*G$147</f>
        <v>764.02036363636353</v>
      </c>
      <c r="J47" s="610">
        <f>I47*($J$38/$I$38)</f>
        <v>755.0071735025407</v>
      </c>
      <c r="K47" s="708">
        <f>I47*($K$38/$I$38)</f>
        <v>804.27906160659404</v>
      </c>
      <c r="L47" s="335">
        <f>IF($C136=0,0,$B136/$C136*$D136)*0.024*H$147</f>
        <v>658.80436363636363</v>
      </c>
      <c r="M47" s="709">
        <f>L47*($M$38/$L$38)</f>
        <v>727.24166603552692</v>
      </c>
      <c r="N47" s="708">
        <f>L47*($N$38/$L$38)</f>
        <v>788.50682119892156</v>
      </c>
      <c r="O47" s="335">
        <f>IF($C136=0,0,$B136/$C136*$D136)*0.024*I$147</f>
        <v>571.39199999999994</v>
      </c>
      <c r="P47" s="711">
        <f>O47*($P$38/$O$38)</f>
        <v>519.93899700086945</v>
      </c>
      <c r="Q47" s="712">
        <f>O47*($Q$38/$O$38)</f>
        <v>570.18318787803867</v>
      </c>
      <c r="R47" s="335">
        <f>IF($C136=0,0,$B136/$C136*$D136)*0.024*J$147</f>
        <v>330.93818181818182</v>
      </c>
      <c r="S47" s="711">
        <f>R47*($S$38/$R$38)</f>
        <v>453.4120294938154</v>
      </c>
      <c r="T47" s="712">
        <f>R47*($T$38/$R$38)</f>
        <v>776.87676761074931</v>
      </c>
      <c r="U47" s="335">
        <f>IF($C136=0,0,$B136/$C136*$D136)*0.024*K$147</f>
        <v>21.678545454545453</v>
      </c>
      <c r="V47" s="711">
        <f>IFERROR(U47*($V$38/$U$38),0)</f>
        <v>136.40798201022628</v>
      </c>
      <c r="W47" s="712">
        <f>IFERROR(U47*($W$38/$U$38),0)</f>
        <v>57.425615094704739</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24.506181818181819</v>
      </c>
      <c r="AH47" s="720">
        <f>IFERROR(AG47*($AH$35/$AG$35),0)</f>
        <v>8.4974918597606166</v>
      </c>
      <c r="AI47" s="721">
        <f>IFERROR(AG47*($AI$35/$AG$35),0)</f>
        <v>0</v>
      </c>
      <c r="AJ47" s="335">
        <f>IF($C136=0,0,$B136/$C136*$D136)*0.024*P$147</f>
        <v>335.4763636363636</v>
      </c>
      <c r="AK47" s="711">
        <f>AJ47*($AK$38/$AJ$38)</f>
        <v>435.58812956074843</v>
      </c>
      <c r="AL47" s="712">
        <f>IFERROR(AJ47*($AL$38/$AJ$38),)</f>
        <v>384.69595231469657</v>
      </c>
      <c r="AM47" s="335">
        <f>IF($C136=0,0,$B136/$C136*$D136)*0.024*Q$147</f>
        <v>532.01454545454544</v>
      </c>
      <c r="AN47" s="711">
        <f>AM47*($AN$38/$AM$38)</f>
        <v>661.32695652957295</v>
      </c>
      <c r="AO47" s="712">
        <f>AM47*($AO$38/$AM$38)</f>
        <v>568.53039596222652</v>
      </c>
      <c r="AP47" s="335">
        <f>IF($C136=0,0,$B136/$C136*$D136)*0.024*R$147</f>
        <v>703.41818181818178</v>
      </c>
      <c r="AQ47" s="711">
        <f>AP47*($AQ$38/$AP$38)</f>
        <v>711.30555895205157</v>
      </c>
      <c r="AR47" s="712">
        <f>AP47*($AR$38/$AP$38)</f>
        <v>786.71390501070198</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25">
      <c r="A48" s="358" t="s">
        <v>874</v>
      </c>
      <c r="B48" s="359" t="s">
        <v>1184</v>
      </c>
      <c r="C48" s="558">
        <f>0.86*C47/1000</f>
        <v>3.4633769890909094</v>
      </c>
      <c r="D48" s="377">
        <f>0.86*D47/1000</f>
        <v>4.1469190947031098</v>
      </c>
      <c r="E48" s="676">
        <f>0.86*E47/1000</f>
        <v>4.2158673334260328</v>
      </c>
      <c r="F48" s="74"/>
      <c r="G48" s="379" t="s">
        <v>874</v>
      </c>
      <c r="H48" s="380" t="s">
        <v>1184</v>
      </c>
      <c r="I48" s="723">
        <f t="shared" ref="I48:O48" si="61">0.86*I47/1000</f>
        <v>0.65705751272727264</v>
      </c>
      <c r="J48" s="680">
        <f t="shared" si="61"/>
        <v>0.64930616921218498</v>
      </c>
      <c r="K48" s="724">
        <f t="shared" si="61"/>
        <v>0.69167999298167093</v>
      </c>
      <c r="L48" s="723">
        <f t="shared" ref="L48" si="62">0.86*L47/1000</f>
        <v>0.56657175272727267</v>
      </c>
      <c r="M48" s="683">
        <f t="shared" si="61"/>
        <v>0.62542783279055314</v>
      </c>
      <c r="N48" s="681">
        <f t="shared" si="61"/>
        <v>0.67811586623107256</v>
      </c>
      <c r="O48" s="723">
        <f t="shared" si="61"/>
        <v>0.49139711999999991</v>
      </c>
      <c r="P48" s="717">
        <f t="shared" si="46"/>
        <v>0.43228387427748877</v>
      </c>
      <c r="Q48" s="718">
        <f t="shared" ref="Q48" si="63">O48*($Q$35/$O$35)</f>
        <v>0.49000834181733377</v>
      </c>
      <c r="R48" s="723">
        <f t="shared" ref="R48" si="64">0.86*R47/1000</f>
        <v>0.28460683636363637</v>
      </c>
      <c r="S48" s="725">
        <f>0.86*S47/1000</f>
        <v>0.38993434536468125</v>
      </c>
      <c r="T48" s="726">
        <f>0.86*T47/1000</f>
        <v>0.66811402014524435</v>
      </c>
      <c r="U48" s="723">
        <f t="shared" ref="U48:W48" si="65">0.86*U47/1000</f>
        <v>1.8643549090909092E-2</v>
      </c>
      <c r="V48" s="680">
        <f t="shared" si="65"/>
        <v>0.11731086452879459</v>
      </c>
      <c r="W48" s="686">
        <f t="shared" si="65"/>
        <v>4.9386028981446076E-2</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2.1075316363636364E-2</v>
      </c>
      <c r="AH48" s="680">
        <f t="shared" si="69"/>
        <v>7.3078429993941301E-3</v>
      </c>
      <c r="AI48" s="686">
        <f>0.86*AI47/1000</f>
        <v>0</v>
      </c>
      <c r="AJ48" s="723">
        <f t="shared" ref="AJ48" si="70">0.86*AJ47/1000</f>
        <v>0.28850967272727268</v>
      </c>
      <c r="AK48" s="680">
        <f t="shared" ref="AK48" si="71">0.86*AK47/1000</f>
        <v>0.37460579142224365</v>
      </c>
      <c r="AL48" s="686">
        <f t="shared" ref="AL48:AM48" si="72">0.86*AL47/1000</f>
        <v>0.33083851899063904</v>
      </c>
      <c r="AM48" s="723">
        <f t="shared" si="72"/>
        <v>0.45753250909090903</v>
      </c>
      <c r="AN48" s="680">
        <f t="shared" ref="AN48" si="73">0.86*AN47/1000</f>
        <v>0.56874118261543272</v>
      </c>
      <c r="AO48" s="686">
        <f t="shared" ref="AO48:AP48" si="74">0.86*AO47/1000</f>
        <v>0.48893614052751477</v>
      </c>
      <c r="AP48" s="723">
        <f t="shared" si="74"/>
        <v>0.60493963636363624</v>
      </c>
      <c r="AQ48" s="680">
        <f t="shared" ref="AQ48" si="75">0.86*AQ47/1000</f>
        <v>0.6117227806987644</v>
      </c>
      <c r="AR48" s="686">
        <f t="shared" ref="AR48" si="76">0.86*AR47/1000</f>
        <v>0.67657395830920375</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25">
      <c r="A50" s="332" t="s">
        <v>1589</v>
      </c>
      <c r="B50" s="322" t="s">
        <v>842</v>
      </c>
      <c r="C50" s="333">
        <f>IF(C137=0,0,B137/C137*D137)*0.024*$D$147</f>
        <v>0</v>
      </c>
      <c r="D50" s="706">
        <f>C50*($D$35/$C$35)</f>
        <v>0</v>
      </c>
      <c r="E50" s="707">
        <f>C50*($E$38/$C$38)</f>
        <v>0</v>
      </c>
      <c r="F50" s="74"/>
      <c r="G50" s="332" t="s">
        <v>1589</v>
      </c>
      <c r="H50" s="326" t="s">
        <v>842</v>
      </c>
      <c r="I50" s="335">
        <f>IF($C137=0,0,$B137/$C137*$D137)*0.024*G$147</f>
        <v>0</v>
      </c>
      <c r="J50" s="610">
        <f>I50*($J$38/$I$38)</f>
        <v>0</v>
      </c>
      <c r="K50" s="708">
        <f>I50*($K$38/$I$38)</f>
        <v>0</v>
      </c>
      <c r="L50" s="335">
        <f>IF($C137=0,0,$B137/$C137*$D137)*0.024*H$147</f>
        <v>0</v>
      </c>
      <c r="M50" s="709">
        <f>L50*($M$38/$L$38)</f>
        <v>0</v>
      </c>
      <c r="N50" s="708">
        <f>L50*($N$38/$L$38)</f>
        <v>0</v>
      </c>
      <c r="O50" s="335">
        <f>IF($C137=0,0,$B137/$C137*$D137)*0.024*I$147</f>
        <v>0</v>
      </c>
      <c r="P50" s="711">
        <f>O50*($P$38/$O$38)</f>
        <v>0</v>
      </c>
      <c r="Q50" s="712">
        <f>O50*($Q$38/$O$38)</f>
        <v>0</v>
      </c>
      <c r="R50" s="335">
        <f>IF($C137=0,0,$B137/$C137*$D137)*0.024*J$147</f>
        <v>0</v>
      </c>
      <c r="S50" s="711">
        <f>R50*($S$38/$R$38)</f>
        <v>0</v>
      </c>
      <c r="T50" s="712">
        <f>R50*($T$38/$R$38)</f>
        <v>0</v>
      </c>
      <c r="U50" s="335">
        <f>IF($C137=0,0,$B137/$C137*$D137)*0.024*K$147</f>
        <v>0</v>
      </c>
      <c r="V50" s="711">
        <f>IFERROR(U50*($V$38/$U$38),0)</f>
        <v>0</v>
      </c>
      <c r="W50" s="712">
        <f>IFERROR(U50*($W$38/$U$38),0)</f>
        <v>0</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0</v>
      </c>
      <c r="AH50" s="720">
        <f>IFERROR(AG50*($AH$35/$AG$35),0)</f>
        <v>0</v>
      </c>
      <c r="AI50" s="721">
        <f>IFERROR(AG50*($AI$35/$AG$35),0)</f>
        <v>0</v>
      </c>
      <c r="AJ50" s="335">
        <f>IF($C137=0,0,$B137/$C137*$D137)*0.024*P$147</f>
        <v>0</v>
      </c>
      <c r="AK50" s="711">
        <f>AJ50*($AK$38/$AJ$38)</f>
        <v>0</v>
      </c>
      <c r="AL50" s="712">
        <f>IFERROR(AJ50*($AL$38/$AJ$38),)</f>
        <v>0</v>
      </c>
      <c r="AM50" s="335">
        <f>IF($C137=0,0,$B137/$C137*$D137)*0.024*Q$147</f>
        <v>0</v>
      </c>
      <c r="AN50" s="711">
        <f>AM50*($AN$38/$AM$38)</f>
        <v>0</v>
      </c>
      <c r="AO50" s="712">
        <f>AM50*($AO$38/$AM$38)</f>
        <v>0</v>
      </c>
      <c r="AP50" s="335">
        <f>IF($C137=0,0,$B137/$C137*$D137)*0.024*R$147</f>
        <v>0</v>
      </c>
      <c r="AQ50" s="711">
        <f>AP50*($AQ$38/$AP$38)</f>
        <v>0</v>
      </c>
      <c r="AR50" s="712">
        <f>AP50*($AR$38/$AP$38)</f>
        <v>0</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25">
      <c r="A51" s="358" t="s">
        <v>874</v>
      </c>
      <c r="B51" s="359" t="s">
        <v>1184</v>
      </c>
      <c r="C51" s="558">
        <f>0.86*C50/1000</f>
        <v>0</v>
      </c>
      <c r="D51" s="377">
        <f>0.86*D50/1000</f>
        <v>0</v>
      </c>
      <c r="E51" s="676">
        <f>0.86*E50/1000</f>
        <v>0</v>
      </c>
      <c r="F51" s="74"/>
      <c r="G51" s="379" t="s">
        <v>874</v>
      </c>
      <c r="H51" s="380" t="s">
        <v>1184</v>
      </c>
      <c r="I51" s="723">
        <f t="shared" ref="I51:O51" si="77">0.86*I50/1000</f>
        <v>0</v>
      </c>
      <c r="J51" s="680">
        <f t="shared" si="77"/>
        <v>0</v>
      </c>
      <c r="K51" s="724">
        <f t="shared" si="77"/>
        <v>0</v>
      </c>
      <c r="L51" s="723">
        <f t="shared" si="77"/>
        <v>0</v>
      </c>
      <c r="M51" s="683">
        <f t="shared" si="77"/>
        <v>0</v>
      </c>
      <c r="N51" s="681">
        <f t="shared" si="77"/>
        <v>0</v>
      </c>
      <c r="O51" s="723">
        <f t="shared" si="77"/>
        <v>0</v>
      </c>
      <c r="P51" s="717">
        <f t="shared" ref="P51" si="78">O51*($P$35/$O$35)</f>
        <v>0</v>
      </c>
      <c r="Q51" s="718">
        <f t="shared" ref="Q51" si="79">O51*($Q$35/$O$35)</f>
        <v>0</v>
      </c>
      <c r="R51" s="723">
        <f t="shared" ref="R51" si="80">0.86*R50/1000</f>
        <v>0</v>
      </c>
      <c r="S51" s="725">
        <f>0.86*S50/1000</f>
        <v>0</v>
      </c>
      <c r="T51" s="726">
        <f>0.86*T50/1000</f>
        <v>0</v>
      </c>
      <c r="U51" s="723">
        <f t="shared" ref="U51:AH51" si="81">0.86*U50/1000</f>
        <v>0</v>
      </c>
      <c r="V51" s="680">
        <f t="shared" si="81"/>
        <v>0</v>
      </c>
      <c r="W51" s="686">
        <f t="shared" si="81"/>
        <v>0</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0</v>
      </c>
      <c r="AH51" s="680">
        <f t="shared" si="81"/>
        <v>0</v>
      </c>
      <c r="AI51" s="686">
        <f>0.86*AI50/1000</f>
        <v>0</v>
      </c>
      <c r="AJ51" s="723">
        <f t="shared" ref="AJ51:AR51" si="82">0.86*AJ50/1000</f>
        <v>0</v>
      </c>
      <c r="AK51" s="680">
        <f t="shared" si="82"/>
        <v>0</v>
      </c>
      <c r="AL51" s="686">
        <f t="shared" si="82"/>
        <v>0</v>
      </c>
      <c r="AM51" s="723">
        <f t="shared" si="82"/>
        <v>0</v>
      </c>
      <c r="AN51" s="680">
        <f t="shared" si="82"/>
        <v>0</v>
      </c>
      <c r="AO51" s="686">
        <f t="shared" si="82"/>
        <v>0</v>
      </c>
      <c r="AP51" s="723">
        <f t="shared" si="82"/>
        <v>0</v>
      </c>
      <c r="AQ51" s="680">
        <f t="shared" si="82"/>
        <v>0</v>
      </c>
      <c r="AR51" s="686">
        <f t="shared" si="82"/>
        <v>0</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25">
      <c r="A53" s="332" t="s">
        <v>1203</v>
      </c>
      <c r="B53" s="322" t="s">
        <v>842</v>
      </c>
      <c r="C53" s="333">
        <f>(IF(C138=0,0,B138/C138*D138)+IF(C139=0,0,B139/C139*D139)+IF(C140=0,0,B140/C140*D140))*0.024*$D$147</f>
        <v>42962.399999999994</v>
      </c>
      <c r="D53" s="706">
        <f>C53*($D$38/$C$38)</f>
        <v>49287.870866517318</v>
      </c>
      <c r="E53" s="707">
        <f>C53*($E$38/$C$38)</f>
        <v>52296.870740925369</v>
      </c>
      <c r="F53" s="74"/>
      <c r="G53" s="334" t="s">
        <v>1203</v>
      </c>
      <c r="H53" s="326" t="s">
        <v>842</v>
      </c>
      <c r="I53" s="335">
        <f>(IF(C138=0,0,B138/C138*D138)+IF(C139=0,0,B139/C139*D139)+IF(C140=0,0,B140/C140*D140))*0.024*G$147</f>
        <v>8150.6482758620677</v>
      </c>
      <c r="J53" s="610">
        <f>I53*($J$38/$I$38)</f>
        <v>8054.4946311154663</v>
      </c>
      <c r="K53" s="708">
        <f>I53*($K$38/$I$38)</f>
        <v>8580.13223050138</v>
      </c>
      <c r="L53" s="335">
        <f>(IF(C138=0,0,B138/C138*D138)+IF(C139=0,0,B139/C139*D139)+IF(C140=0,0,B140/C140*D140))*0.024*H$147</f>
        <v>7028.1931034482759</v>
      </c>
      <c r="M53" s="709">
        <f>L53*($M$38/$L$38)</f>
        <v>7758.2893251634887</v>
      </c>
      <c r="N53" s="708">
        <f>L53*($N$38/$L$38)</f>
        <v>8411.8723382212538</v>
      </c>
      <c r="O53" s="335">
        <f>(IF(C138=0,0,B138/C138*D138)+IF(C139=0,0,B139/C139*D139)+IF(C140=0,0,B140/C140*D140))*0.024*I$147</f>
        <v>6095.6689655172404</v>
      </c>
      <c r="P53" s="711">
        <f>O53*($P$38/$O$38)</f>
        <v>5546.763006798069</v>
      </c>
      <c r="Q53" s="712">
        <f>O53*($Q$38/$O$38)</f>
        <v>6082.7732327506283</v>
      </c>
      <c r="R53" s="335">
        <f>(IF(C138=0,0,B138/C138*D138)+IF(C139=0,0,B139/C139*D139)+IF(C140=0,0,B140/C140*D140))*0.024*J$147</f>
        <v>3530.4827586206893</v>
      </c>
      <c r="S53" s="711">
        <f>R53*($S$38/$R$38)</f>
        <v>4837.0464353327288</v>
      </c>
      <c r="T53" s="712">
        <f>R53*($T$38/$R$38)</f>
        <v>8287.8017234336403</v>
      </c>
      <c r="U53" s="335">
        <f>(IF(C138=0,0,B138/C138*D138)+IF(C139=0,0,B139/C139*D139)+IF(C140=0,0,B140/C140*D140))*0.024*K$147</f>
        <v>231.26896551724136</v>
      </c>
      <c r="V53" s="711">
        <f>IFERROR(U53*($V$38/$U$38),0)</f>
        <v>1455.2144632556467</v>
      </c>
      <c r="W53" s="712">
        <f>IFERROR(U53*($W$38/$U$38),0)</f>
        <v>612.62240241118207</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261.43448275862067</v>
      </c>
      <c r="AH53" s="711">
        <f>IFERROR(AG53*($AH$38/$AG$38),)</f>
        <v>90.652122210808287</v>
      </c>
      <c r="AI53" s="712">
        <f>IFERROR(AG53*($AI$35/$AG$35),0)</f>
        <v>0</v>
      </c>
      <c r="AJ53" s="335">
        <f>(IF(C138=0,0,B138/C138*D138)+IF(C139=0,0,B139/C139*D139)+IF(C140=0,0,B140/C140*D140))*0.024*P$147</f>
        <v>3578.8965517241372</v>
      </c>
      <c r="AK53" s="711">
        <f>AJ53*($AK$38/$AJ$38)</f>
        <v>4646.8992269950531</v>
      </c>
      <c r="AL53" s="712">
        <f>IFERROR(AJ53*($AL$38/$AJ$38),0)</f>
        <v>4103.9762154261807</v>
      </c>
      <c r="AM53" s="335">
        <f>(IF(C138=0,0,B138/C138*D138)+IF(C139=0,0,B139/C139*D139)+IF(C140=0,0,B140/C140*D140))*0.024*Q$147</f>
        <v>5675.5862068965507</v>
      </c>
      <c r="AN53" s="711">
        <f>AM53*($AN$38/$AM$38)</f>
        <v>7055.1043853909177</v>
      </c>
      <c r="AO53" s="712">
        <f>AM53*($AO$38/$AM$38)</f>
        <v>6065.1410776142693</v>
      </c>
      <c r="AP53" s="335">
        <f>(IF(C138=0,0,B138/C138*D138)+IF(C139=0,0,B139/C139*D139)+IF(C140=0,0,B140/C140*D140))*0.024*R$147</f>
        <v>7504.1379310344819</v>
      </c>
      <c r="AQ53" s="711">
        <f>AP53*($AQ$38/$AP$38)</f>
        <v>7588.2812862341698</v>
      </c>
      <c r="AR53" s="712">
        <f>AP53*($AR$38/$AP$38)</f>
        <v>8392.7453228512386</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25">
      <c r="A54" s="358" t="s">
        <v>874</v>
      </c>
      <c r="B54" s="359" t="s">
        <v>1184</v>
      </c>
      <c r="C54" s="558">
        <f>0.86*C53/1000</f>
        <v>36.947663999999996</v>
      </c>
      <c r="D54" s="377">
        <f>0.86*D53/1000</f>
        <v>42.38756894520489</v>
      </c>
      <c r="E54" s="676">
        <f>0.86*E53/1000</f>
        <v>44.975308837195811</v>
      </c>
      <c r="F54" s="74"/>
      <c r="G54" s="379" t="s">
        <v>874</v>
      </c>
      <c r="H54" s="380" t="s">
        <v>1184</v>
      </c>
      <c r="I54" s="728">
        <f t="shared" ref="I54:O54" si="83">0.86*I53/1000</f>
        <v>7.0095575172413787</v>
      </c>
      <c r="J54" s="680">
        <f t="shared" si="83"/>
        <v>6.926865382759301</v>
      </c>
      <c r="K54" s="713">
        <f t="shared" si="83"/>
        <v>7.3789137182311872</v>
      </c>
      <c r="L54" s="728">
        <f t="shared" ref="L54" si="84">0.86*L53/1000</f>
        <v>6.0442460689655171</v>
      </c>
      <c r="M54" s="683">
        <f t="shared" si="83"/>
        <v>6.6721288196406006</v>
      </c>
      <c r="N54" s="681">
        <f t="shared" si="83"/>
        <v>7.2342102108702786</v>
      </c>
      <c r="O54" s="728">
        <f t="shared" si="83"/>
        <v>5.2422753103448265</v>
      </c>
      <c r="P54" s="717">
        <f t="shared" si="46"/>
        <v>4.611649089813727</v>
      </c>
      <c r="Q54" s="718">
        <f t="shared" ref="Q54" si="85">O54*($Q$35/$O$35)</f>
        <v>5.2274596810254357</v>
      </c>
      <c r="R54" s="728">
        <f t="shared" ref="R54" si="86">0.86*R53/1000</f>
        <v>3.0362151724137929</v>
      </c>
      <c r="S54" s="725">
        <f>0.86*S53/1000</f>
        <v>4.1598599343861471</v>
      </c>
      <c r="T54" s="726">
        <f>0.86*T53/1000</f>
        <v>7.1275094821529299</v>
      </c>
      <c r="U54" s="728">
        <f t="shared" ref="U54:W54" si="87">0.86*U53/1000</f>
        <v>0.19889131034482757</v>
      </c>
      <c r="V54" s="680">
        <f t="shared" si="87"/>
        <v>1.251484438399856</v>
      </c>
      <c r="W54" s="686">
        <f t="shared" si="87"/>
        <v>0.52685526607361655</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0.22483365517241377</v>
      </c>
      <c r="AH54" s="680">
        <f t="shared" si="91"/>
        <v>7.7960825101295123E-2</v>
      </c>
      <c r="AI54" s="686">
        <f>0.86*AI53/1000</f>
        <v>0</v>
      </c>
      <c r="AJ54" s="728">
        <f t="shared" ref="AJ54" si="92">0.86*AJ53/1000</f>
        <v>3.0778510344827579</v>
      </c>
      <c r="AK54" s="680">
        <f t="shared" ref="AK54" si="93">0.86*AK53/1000</f>
        <v>3.9963333352157457</v>
      </c>
      <c r="AL54" s="686">
        <f t="shared" ref="AL54:AM54" si="94">0.86*AL53/1000</f>
        <v>3.5294195452665154</v>
      </c>
      <c r="AM54" s="728">
        <f t="shared" si="94"/>
        <v>4.8810041379310336</v>
      </c>
      <c r="AN54" s="680">
        <f t="shared" ref="AN54" si="95">0.86*AN53/1000</f>
        <v>6.0673897714361891</v>
      </c>
      <c r="AO54" s="686">
        <f t="shared" ref="AO54:AP54" si="96">0.86*AO53/1000</f>
        <v>5.2160213267482716</v>
      </c>
      <c r="AP54" s="728">
        <f t="shared" si="96"/>
        <v>6.4535586206896545</v>
      </c>
      <c r="AQ54" s="680">
        <f t="shared" ref="AQ54" si="97">0.86*AQ53/1000</f>
        <v>6.5259219061613853</v>
      </c>
      <c r="AR54" s="686">
        <f t="shared" ref="AR54" si="98">0.86*AR53/1000</f>
        <v>7.2177609776520653</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75" thickBot="1" x14ac:dyDescent="0.3">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25">
      <c r="A56" s="332" t="s">
        <v>1204</v>
      </c>
      <c r="B56" s="322" t="s">
        <v>842</v>
      </c>
      <c r="C56" s="333">
        <f>(IF(C142=0,0,B142/C142*D142)+IF(C141=0,0,B141/C141*D141))*0.024*$D$147</f>
        <v>12213.423684507045</v>
      </c>
      <c r="D56" s="706">
        <f>C56*($D$38/$C$38)</f>
        <v>14011.639233377266</v>
      </c>
      <c r="E56" s="707">
        <f>C56*($E$38/$C$38)</f>
        <v>14867.042803307577</v>
      </c>
      <c r="F56" s="74"/>
      <c r="G56" s="334" t="s">
        <v>1204</v>
      </c>
      <c r="H56" s="326" t="s">
        <v>842</v>
      </c>
      <c r="I56" s="335">
        <f>(IF(C142=0,0,B142/C142*D142)+IF(C141=0,0,B141/C141*D141))*0.024*G$147</f>
        <v>2317.0800676056342</v>
      </c>
      <c r="J56" s="610">
        <f>I56*($J$38/$I$38)</f>
        <v>2289.7453469638681</v>
      </c>
      <c r="K56" s="708">
        <f>I56*($K$35/$I$35)</f>
        <v>2468.4932296544716</v>
      </c>
      <c r="L56" s="335">
        <f>(IF(C142=0,0,B142/C142*D142)+IF(C141=0,0,B141/C141*D141))*0.024*H$147</f>
        <v>1997.9866140845077</v>
      </c>
      <c r="M56" s="709">
        <f>L56*($M$38/$L$38)</f>
        <v>2205.5396019591535</v>
      </c>
      <c r="N56" s="708">
        <f>L56*($N$38/$L$38)</f>
        <v>2391.3412855585611</v>
      </c>
      <c r="O56" s="335">
        <f>(IF(C142=0,0,B142/C142*D142)+IF(C141=0,0,B141/C141*D141))*0.024*I$147</f>
        <v>1732.8870760563382</v>
      </c>
      <c r="P56" s="711">
        <f>O56*($P$38/$O$38)</f>
        <v>1576.8431623832712</v>
      </c>
      <c r="Q56" s="712">
        <f>O56*($Q$38/$O$38)</f>
        <v>1729.221055349841</v>
      </c>
      <c r="R56" s="335">
        <f>(IF(C142=0,0,B142/C142*D142)+IF(C141=0,0,B141/C141*D141))*0.024*J$147</f>
        <v>1003.651605633803</v>
      </c>
      <c r="S56" s="711">
        <f>R56*($S$38/$R$38)</f>
        <v>1375.0837359261384</v>
      </c>
      <c r="T56" s="712">
        <f>R56*($T$38/$R$38)</f>
        <v>2356.0702814899246</v>
      </c>
      <c r="U56" s="335">
        <f>(IF(C142=0,0,B142/C142*D142)+IF(C141=0,0,B141/C141*D141))*0.024*K$147</f>
        <v>65.745532394366208</v>
      </c>
      <c r="V56" s="711">
        <f>IFERROR(U56*($V$38/$U$38),0)</f>
        <v>413.69082713171804</v>
      </c>
      <c r="W56" s="712">
        <f>IFERROR(U56*($W$38/$U$38),0)</f>
        <v>174.15733197559578</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74.321036619718328</v>
      </c>
      <c r="AH56" s="711">
        <f>IFERROR(AG56*($AH$38/$AG$38),0)</f>
        <v>25.77073851694303</v>
      </c>
      <c r="AI56" s="712">
        <f>IFERROR(AG56*($AI$35/$AG$35),0)</f>
        <v>0</v>
      </c>
      <c r="AJ56" s="335">
        <f>(IF(C142=0,0,B142/C142*D142)+IF(C141=0,0,B141/C141*D141))*0.024*P$147</f>
        <v>1017.4147605633805</v>
      </c>
      <c r="AK56" s="711">
        <f>AJ56*($AK$38/$AJ$38)</f>
        <v>1321.0283661643407</v>
      </c>
      <c r="AL56" s="712">
        <f>AJ56*($AL$38/$AJ$38)</f>
        <v>1166.685294819184</v>
      </c>
      <c r="AM56" s="335">
        <f>(IF(C142=0,0,B142/C142*D142)+IF(C141=0,0,B141/C141*D141))*0.024*Q$147</f>
        <v>1613.4652394366199</v>
      </c>
      <c r="AN56" s="711">
        <f>AM56*($AN$38/$AM$38)</f>
        <v>2005.6369987990186</v>
      </c>
      <c r="AO56" s="712">
        <f>AM56*($AO$38/$AM$38)</f>
        <v>1724.2085564868512</v>
      </c>
      <c r="AP56" s="335">
        <f>(IF(C142=0,0,B142/C142*D142)+IF(C141=0,0,B141/C141*D141))*0.024*R$147</f>
        <v>2133.2890140845075</v>
      </c>
      <c r="AQ56" s="711">
        <f>AP56*($AQ$38/$AP$38)</f>
        <v>2157.2094293147961</v>
      </c>
      <c r="AR56" s="712">
        <f>AP56*($AR$38/$AP$38)</f>
        <v>2385.9038253018234</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25">
      <c r="A57" s="358" t="s">
        <v>874</v>
      </c>
      <c r="B57" s="359" t="s">
        <v>1184</v>
      </c>
      <c r="C57" s="558">
        <f>0.86*C56/1000</f>
        <v>10.503544368676057</v>
      </c>
      <c r="D57" s="377">
        <f>0.86*D56/1000</f>
        <v>12.050009740704448</v>
      </c>
      <c r="E57" s="676">
        <f>0.86*E56/1000</f>
        <v>12.785656810844515</v>
      </c>
      <c r="F57" s="74"/>
      <c r="G57" s="379" t="s">
        <v>874</v>
      </c>
      <c r="H57" s="380" t="s">
        <v>1184</v>
      </c>
      <c r="I57" s="728">
        <f t="shared" ref="I57:O57" si="99">0.86*I56/1000</f>
        <v>1.9926888581408455</v>
      </c>
      <c r="J57" s="680">
        <f t="shared" si="99"/>
        <v>1.9691809983889266</v>
      </c>
      <c r="K57" s="713">
        <f t="shared" si="99"/>
        <v>2.1229041775028454</v>
      </c>
      <c r="L57" s="728">
        <f t="shared" ref="L57" si="100">0.86*L56/1000</f>
        <v>1.7182684881126766</v>
      </c>
      <c r="M57" s="683">
        <f t="shared" si="99"/>
        <v>1.8967640576848719</v>
      </c>
      <c r="N57" s="681">
        <f t="shared" si="99"/>
        <v>2.0565535055803625</v>
      </c>
      <c r="O57" s="728">
        <f t="shared" si="99"/>
        <v>1.4902828854084507</v>
      </c>
      <c r="P57" s="717">
        <f t="shared" si="46"/>
        <v>1.3110073975887364</v>
      </c>
      <c r="Q57" s="718">
        <f t="shared" ref="Q57" si="101">O57*($Q$35/$O$35)</f>
        <v>1.486071073265034</v>
      </c>
      <c r="R57" s="728">
        <f t="shared" ref="R57" si="102">0.86*R56/1000</f>
        <v>0.86314038084507061</v>
      </c>
      <c r="S57" s="725">
        <f>0.86*S56/1000</f>
        <v>1.182572012896479</v>
      </c>
      <c r="T57" s="726">
        <f>0.86*T56/1000</f>
        <v>2.026220442081335</v>
      </c>
      <c r="U57" s="728">
        <f t="shared" ref="U57:W57" si="103">0.86*U56/1000</f>
        <v>5.6541157859154936E-2</v>
      </c>
      <c r="V57" s="680">
        <f t="shared" si="103"/>
        <v>0.35577411133327752</v>
      </c>
      <c r="W57" s="686">
        <f t="shared" si="103"/>
        <v>0.14977530549901238</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6.3916091492957766E-2</v>
      </c>
      <c r="AH57" s="680">
        <f t="shared" si="107"/>
        <v>2.2162835124571009E-2</v>
      </c>
      <c r="AI57" s="686">
        <f>0.86*AI56/1000</f>
        <v>0</v>
      </c>
      <c r="AJ57" s="728">
        <f t="shared" ref="AJ57" si="108">0.86*AJ56/1000</f>
        <v>0.87497669408450729</v>
      </c>
      <c r="AK57" s="680">
        <f t="shared" ref="AK57" si="109">0.86*AK56/1000</f>
        <v>1.1360843949013328</v>
      </c>
      <c r="AL57" s="686">
        <f t="shared" ref="AL57:AM57" si="110">0.86*AL56/1000</f>
        <v>1.0033493535444984</v>
      </c>
      <c r="AM57" s="728">
        <f t="shared" si="110"/>
        <v>1.3875801059154931</v>
      </c>
      <c r="AN57" s="680">
        <f t="shared" ref="AN57" si="111">0.86*AN56/1000</f>
        <v>1.7248478189671559</v>
      </c>
      <c r="AO57" s="686">
        <f t="shared" ref="AO57:AP57" si="112">0.86*AO56/1000</f>
        <v>1.482819358578692</v>
      </c>
      <c r="AP57" s="728">
        <f t="shared" si="112"/>
        <v>1.8346285521126764</v>
      </c>
      <c r="AQ57" s="680">
        <f t="shared" ref="AQ57" si="113">0.86*AQ56/1000</f>
        <v>1.8552001092107246</v>
      </c>
      <c r="AR57" s="686">
        <f t="shared" ref="AR57" si="114">0.86*AR56/1000</f>
        <v>2.0518772897595681</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75" thickBot="1" x14ac:dyDescent="0.3">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25">
      <c r="A59" s="332" t="s">
        <v>1205</v>
      </c>
      <c r="B59" s="322" t="s">
        <v>842</v>
      </c>
      <c r="C59" s="333">
        <f>IF(C143=0,0,B143/C143*D143)*0.024*$D$147</f>
        <v>1165.7633684210527</v>
      </c>
      <c r="D59" s="706">
        <f>C59*($D$38/$C$38)</f>
        <v>1337.4018761440959</v>
      </c>
      <c r="E59" s="707">
        <f>C59*($E$38/$C$38)</f>
        <v>1419.0495920344665</v>
      </c>
      <c r="F59" s="74"/>
      <c r="G59" s="334" t="s">
        <v>1205</v>
      </c>
      <c r="H59" s="326" t="s">
        <v>842</v>
      </c>
      <c r="I59" s="343">
        <f>IF($C143=0,0,$B143/$C143*$D143)*0.024*G$147</f>
        <v>221.1637894736842</v>
      </c>
      <c r="J59" s="610">
        <f>I59*($J$38/$I$38)</f>
        <v>218.55470811915654</v>
      </c>
      <c r="K59" s="708">
        <f>I59*($K$38/$I$38)</f>
        <v>232.81762309664566</v>
      </c>
      <c r="L59" s="335">
        <f>IF($C143=0,0,$B143/$C143*$D143)*0.024*H$147</f>
        <v>190.70652631578949</v>
      </c>
      <c r="M59" s="709">
        <f>L59*($M$38/$L$38)</f>
        <v>210.51732437870518</v>
      </c>
      <c r="N59" s="708">
        <f>L59*($N$35/$L$35)</f>
        <v>237.75492439909752</v>
      </c>
      <c r="O59" s="335">
        <f>IF($C143=0,0,$B143/$C143*$D143)*0.024*I$147</f>
        <v>165.40294736842105</v>
      </c>
      <c r="P59" s="711">
        <f>O59*($P$38/$O$38)</f>
        <v>150.5086570265675</v>
      </c>
      <c r="Q59" s="712">
        <f>O59*($Q$38/$O$38)</f>
        <v>165.0530280699586</v>
      </c>
      <c r="R59" s="335">
        <f>IF($C143=0,0,$B143/$C143*$D143)*0.024*J$147</f>
        <v>95.797894736842096</v>
      </c>
      <c r="S59" s="711">
        <f>R59*($S$38/$R$38)</f>
        <v>131.25085064294655</v>
      </c>
      <c r="T59" s="712">
        <f>R59*($T$38/$R$38)</f>
        <v>224.88538009784847</v>
      </c>
      <c r="U59" s="343">
        <f>IF($C143=0,0,$B143/$C143*$D143)*0.024*K$147</f>
        <v>6.2753684210526313</v>
      </c>
      <c r="V59" s="711">
        <f>IFERROR(U59*($V$38/$U$38),0)</f>
        <v>39.4865211082234</v>
      </c>
      <c r="W59" s="712">
        <f>IFERROR(U59*($W$38/$U$38),0)</f>
        <v>16.623204369519794</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7.0938947368421053</v>
      </c>
      <c r="AH59" s="711">
        <f>IFERROR(AG59*($AH$38/$AG$38),)</f>
        <v>2.4598002751938628</v>
      </c>
      <c r="AI59" s="712">
        <f>IFERROR(AG59*($AI$35/$AG$35),0)</f>
        <v>0</v>
      </c>
      <c r="AJ59" s="335">
        <f>IF($C143=0,0,$B143/$C143*$D143)*0.024*P$147</f>
        <v>97.111578947368415</v>
      </c>
      <c r="AK59" s="711">
        <f>AJ59*($AK$38/$AJ$38)</f>
        <v>126.09130066232193</v>
      </c>
      <c r="AL59" s="712">
        <f>AJ59*($AL$38/$AJ$38)</f>
        <v>111.35935461741218</v>
      </c>
      <c r="AM59" s="335">
        <f>IF($C143=0,0,$B143/$C143*$D143)*0.024*Q$147</f>
        <v>154.00421052631577</v>
      </c>
      <c r="AN59" s="711">
        <f>AM59*($AN$38/$AM$38)</f>
        <v>191.43675057435007</v>
      </c>
      <c r="AO59" s="712">
        <f>AM59*($AO$38/$AM$38)</f>
        <v>164.57458830485504</v>
      </c>
      <c r="AP59" s="335">
        <f>IF($C143=0,0,$B143/$C143*$D143)*0.024*R$147</f>
        <v>203.62105263157895</v>
      </c>
      <c r="AQ59" s="711">
        <f>AP59*($AQ$38/$AP$38)</f>
        <v>205.90424074927807</v>
      </c>
      <c r="AR59" s="712">
        <f>AP59*($AR$38/$AP$38)</f>
        <v>227.73297250309795</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25">
      <c r="A60" s="358" t="s">
        <v>874</v>
      </c>
      <c r="B60" s="359" t="s">
        <v>1184</v>
      </c>
      <c r="C60" s="731"/>
      <c r="D60" s="377">
        <f>0.86*D59/1000</f>
        <v>1.1501656134839224</v>
      </c>
      <c r="E60" s="676">
        <f>0.86*E59/1000</f>
        <v>1.220382649149641</v>
      </c>
      <c r="F60" s="74"/>
      <c r="G60" s="379" t="s">
        <v>874</v>
      </c>
      <c r="H60" s="380" t="s">
        <v>1184</v>
      </c>
      <c r="I60" s="728">
        <f t="shared" ref="I60:W60" si="115">0.86*I59/1000</f>
        <v>0.19020085894736841</v>
      </c>
      <c r="J60" s="680">
        <f t="shared" si="115"/>
        <v>0.18795704898247462</v>
      </c>
      <c r="K60" s="713">
        <f t="shared" si="115"/>
        <v>0.20022315586311526</v>
      </c>
      <c r="L60" s="728">
        <f t="shared" ref="L60" si="116">0.86*L59/1000</f>
        <v>0.16400761263157895</v>
      </c>
      <c r="M60" s="683">
        <f t="shared" si="115"/>
        <v>0.18104489896568646</v>
      </c>
      <c r="N60" s="681">
        <f t="shared" si="115"/>
        <v>0.20446923498322386</v>
      </c>
      <c r="O60" s="728">
        <f t="shared" si="115"/>
        <v>0.1422465347368421</v>
      </c>
      <c r="P60" s="683">
        <f t="shared" si="115"/>
        <v>0.12943744504284804</v>
      </c>
      <c r="Q60" s="681">
        <f t="shared" si="115"/>
        <v>0.14194560414016438</v>
      </c>
      <c r="R60" s="728">
        <f t="shared" si="115"/>
        <v>8.2386189473684202E-2</v>
      </c>
      <c r="S60" s="725">
        <f t="shared" si="115"/>
        <v>0.11287573155293402</v>
      </c>
      <c r="T60" s="726">
        <f t="shared" si="115"/>
        <v>0.19340142688414969</v>
      </c>
      <c r="U60" s="728">
        <f t="shared" si="115"/>
        <v>5.3968168421052627E-3</v>
      </c>
      <c r="V60" s="680">
        <f t="shared" si="115"/>
        <v>3.395840815307212E-2</v>
      </c>
      <c r="W60" s="686">
        <f t="shared" si="115"/>
        <v>1.4295955757787021E-2</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6.1007494736842107E-3</v>
      </c>
      <c r="AH60" s="680">
        <f t="shared" si="120"/>
        <v>2.1154282366667217E-3</v>
      </c>
      <c r="AI60" s="686">
        <f>0.86*AI59/1000</f>
        <v>0</v>
      </c>
      <c r="AJ60" s="728">
        <f t="shared" ref="AJ60" si="121">0.86*AJ59/1000</f>
        <v>8.3515957894736828E-2</v>
      </c>
      <c r="AK60" s="680">
        <f t="shared" ref="AK60" si="122">0.86*AK59/1000</f>
        <v>0.10843851856959685</v>
      </c>
      <c r="AL60" s="686">
        <f t="shared" ref="AL60:AM60" si="123">0.86*AL59/1000</f>
        <v>9.5769044970974479E-2</v>
      </c>
      <c r="AM60" s="728">
        <f t="shared" si="123"/>
        <v>0.13244362105263155</v>
      </c>
      <c r="AN60" s="680">
        <f t="shared" ref="AN60" si="124">0.86*AN59/1000</f>
        <v>0.16463560549394105</v>
      </c>
      <c r="AO60" s="686">
        <f t="shared" ref="AO60:AP60" si="125">0.86*AO59/1000</f>
        <v>0.14153414594217534</v>
      </c>
      <c r="AP60" s="728">
        <f t="shared" si="125"/>
        <v>0.17511410526315788</v>
      </c>
      <c r="AQ60" s="680">
        <f t="shared" ref="AQ60" si="126">0.86*AQ59/1000</f>
        <v>0.17707764704437914</v>
      </c>
      <c r="AR60" s="686">
        <f t="shared" ref="AR60" si="127">0.86*AR59/1000</f>
        <v>0.19585035635266426</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75" thickBot="1" x14ac:dyDescent="0.3">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25">
      <c r="A62" s="329" t="s">
        <v>1198</v>
      </c>
      <c r="B62" s="322" t="s">
        <v>842</v>
      </c>
      <c r="C62" s="324">
        <f>(D151*D152*'Ввод исходных данных'!$D$22*0.28)*D147*0.024+D154*D192+D161</f>
        <v>171177.73615819553</v>
      </c>
      <c r="D62" s="672">
        <f>C62*(($D$35+$D$71)/($C$35+$C$71))</f>
        <v>196380.69928560589</v>
      </c>
      <c r="E62" s="672">
        <f>$C62*(($E$35+$E$71)/($C$35+$C$71))</f>
        <v>208369.64279438253</v>
      </c>
      <c r="F62" s="74"/>
      <c r="G62" s="344" t="s">
        <v>1198</v>
      </c>
      <c r="H62" s="326" t="s">
        <v>842</v>
      </c>
      <c r="I62" s="328">
        <f>($D$151*$D$152*'Ввод исходных данных'!$D$22*0.28)*G$147*0.024+G192*$D$154+G161</f>
        <v>32475.129882962043</v>
      </c>
      <c r="J62" s="672">
        <f>I62*((J$35+J$71)/(I$35+I$71))</f>
        <v>32092.018994578651</v>
      </c>
      <c r="K62" s="672">
        <f>IFERROR(I62*((K$35+K$71)/(I$35+I$71)),0)</f>
        <v>34186.349253188724</v>
      </c>
      <c r="L62" s="328">
        <f>($D$151*$D$152*'Ввод исходных данных'!$D$22*0.28)*H$147*0.024+H192*$D$154+H161</f>
        <v>28002.862613143552</v>
      </c>
      <c r="M62" s="672">
        <f>L62*((M$35+M$71)/(L$35+L$71))</f>
        <v>30911.829952278749</v>
      </c>
      <c r="N62" s="672">
        <f>IFERROR(L62*((N$35+N$71)/(L$35+L$71)),0)</f>
        <v>33515.941002096282</v>
      </c>
      <c r="O62" s="328">
        <f>($D$151*$D$152*'Ввод исходных данных'!$D$22*0.28)*I$147*0.024+I192*$D$154+I161</f>
        <v>24287.349260912124</v>
      </c>
      <c r="P62" s="672">
        <f>O62*((P$35+P$71)/(O$35+O$71))</f>
        <v>22100.309445229301</v>
      </c>
      <c r="Q62" s="672">
        <f>IFERROR(O62*((Q$35+Q$71)/(O$35+O$71)),0)</f>
        <v>24235.967998666769</v>
      </c>
      <c r="R62" s="328">
        <f>($D$151*$D$152*'Ввод исходных данных'!$D$22*0.28)*J$147*0.024+J192*$D$154+J161</f>
        <v>14066.719879853796</v>
      </c>
      <c r="S62" s="672">
        <f>R62*((S$35+S$71)/(R$35+R$71))</f>
        <v>19272.542001664853</v>
      </c>
      <c r="T62" s="672">
        <f>IFERROR(R62*((T$35+T$71)/(R$35+R$71)),0)</f>
        <v>33021.598810712669</v>
      </c>
      <c r="U62" s="328">
        <f>($D$151*$D$152*'Ввод исходных данных'!$D$22*0.28)*K$147*0.024+K192*$D$154+K161</f>
        <v>921.45918200308085</v>
      </c>
      <c r="V62" s="672">
        <f>IFERROR(U62*((V$35+V$71)/(U$35+U$71)),0)</f>
        <v>5798.1006052912599</v>
      </c>
      <c r="W62" s="672">
        <f>IFERROR(U62*((W$35+W$71)/(U$35+U$71)),0)</f>
        <v>2440.9091662602927</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1041.6495100904394</v>
      </c>
      <c r="AH62" s="672">
        <f>IFERROR(AG62*((AH$35+AH$71)/(AG$35+AG$71)),0)</f>
        <v>361.19083333291996</v>
      </c>
      <c r="AI62" s="672">
        <f>IFERROR(AG62*((AI$35+AI$71)/(AG$35+AG$71)),0)</f>
        <v>0</v>
      </c>
      <c r="AJ62" s="328">
        <f>($D$151*$D$152*'Ввод исходных данных'!$D$22*0.28)*P$147*0.024+P192*$D$154+P161</f>
        <v>14259.61793727795</v>
      </c>
      <c r="AK62" s="672">
        <f>IFERROR(AJ62*((AK$35+AK$71)/(AJ$35+AJ$71)),0)</f>
        <v>18514.926769274574</v>
      </c>
      <c r="AL62" s="672">
        <f>IFERROR(AJ62*((AL$35+AL$71)/(AJ$35+AJ$71)),0)</f>
        <v>16351.725178382323</v>
      </c>
      <c r="AM62" s="328">
        <f>($D$151*$D$152*'Ввод исходных данных'!$D$22*0.28)*Q$147*0.024+Q192*$D$154+Q161</f>
        <v>22613.587654954837</v>
      </c>
      <c r="AN62" s="672">
        <f>IFERROR(AM62*((AN$35+AN$71)/(AM$35+AM$71)),0)</f>
        <v>28110.086891118164</v>
      </c>
      <c r="AO62" s="672">
        <f>IFERROR(AM62*((AO$35+AO$71)/(AM$35+AM$71)),0)</f>
        <v>24165.715117081199</v>
      </c>
      <c r="AP62" s="328">
        <f>($D$151*$D$152*'Ввод исходных данных'!$D$22*0.28)*R$147*0.024+R192*$D$154+R161</f>
        <v>29899.19890074409</v>
      </c>
      <c r="AQ62" s="672">
        <f>IFERROR(AP62*((AQ$35+AQ$71)/(AP$35+AP$71)),0)</f>
        <v>30234.456452832368</v>
      </c>
      <c r="AR62" s="672">
        <f>IFERROR(AP62*((AR$35+AR$71)/(AP$35+AP$71)),0)</f>
        <v>33439.732056820823</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25">
      <c r="A63" s="358" t="s">
        <v>874</v>
      </c>
      <c r="B63" s="359" t="s">
        <v>1184</v>
      </c>
      <c r="C63" s="658">
        <f>0.86*C62/1000</f>
        <v>147.21285309604815</v>
      </c>
      <c r="D63" s="377">
        <f>0.86*D62/1000</f>
        <v>168.88740138562105</v>
      </c>
      <c r="E63" s="732">
        <f>0.86*E62/1000</f>
        <v>179.19789280316897</v>
      </c>
      <c r="F63" s="74"/>
      <c r="G63" s="379" t="s">
        <v>874</v>
      </c>
      <c r="H63" s="380" t="s">
        <v>1184</v>
      </c>
      <c r="I63" s="728">
        <f t="shared" ref="I63:O63" si="128">0.86*I62/1000</f>
        <v>27.928611699347353</v>
      </c>
      <c r="J63" s="680">
        <f t="shared" si="128"/>
        <v>27.59913633533764</v>
      </c>
      <c r="K63" s="713">
        <f t="shared" si="128"/>
        <v>29.400260357742305</v>
      </c>
      <c r="L63" s="733">
        <f t="shared" si="128"/>
        <v>24.082461847303453</v>
      </c>
      <c r="M63" s="683">
        <f t="shared" si="128"/>
        <v>26.584173758959725</v>
      </c>
      <c r="N63" s="681">
        <f t="shared" si="128"/>
        <v>28.823709261802804</v>
      </c>
      <c r="O63" s="370">
        <f t="shared" si="128"/>
        <v>20.887120364384426</v>
      </c>
      <c r="P63" s="717">
        <f t="shared" ref="P63:P66" si="129">O63*($P$35/$O$35)</f>
        <v>18.374477476824314</v>
      </c>
      <c r="Q63" s="718">
        <f t="shared" ref="Q63" si="130">O63*($Q$35/$O$35)</f>
        <v>20.828089540067062</v>
      </c>
      <c r="R63" s="685">
        <f>0.86*R62/1000</f>
        <v>12.097379096674263</v>
      </c>
      <c r="S63" s="725">
        <f>0.86*S62/1000</f>
        <v>16.574386121431772</v>
      </c>
      <c r="T63" s="726">
        <f>0.86*T62/1000</f>
        <v>28.398574977212895</v>
      </c>
      <c r="U63" s="370">
        <f>0.86*U62/1000</f>
        <v>0.79245489652264955</v>
      </c>
      <c r="V63" s="680">
        <f t="shared" ref="V63:W63" si="131">0.86*V62/1000</f>
        <v>4.986366520550483</v>
      </c>
      <c r="W63" s="686">
        <f t="shared" si="131"/>
        <v>2.0991818829838516</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0.89581857867777781</v>
      </c>
      <c r="AH63" s="680">
        <f t="shared" ref="AH63" si="135">0.86*AH62/1000</f>
        <v>0.31062411666631118</v>
      </c>
      <c r="AI63" s="686">
        <f>0.86*AI62/1000</f>
        <v>0</v>
      </c>
      <c r="AJ63" s="682">
        <f>0.86*AJ62/1000</f>
        <v>12.263271426059037</v>
      </c>
      <c r="AK63" s="680">
        <f t="shared" ref="AK63" si="136">0.86*AK62/1000</f>
        <v>15.922837021576134</v>
      </c>
      <c r="AL63" s="686">
        <f t="shared" ref="AL63" si="137">0.86*AL62/1000</f>
        <v>14.062483653408798</v>
      </c>
      <c r="AM63" s="685">
        <f>0.86*AM62/1000</f>
        <v>19.44768538326116</v>
      </c>
      <c r="AN63" s="680">
        <f t="shared" ref="AN63" si="138">0.86*AN62/1000</f>
        <v>24.174674726361619</v>
      </c>
      <c r="AO63" s="686">
        <f t="shared" ref="AO63" si="139">0.86*AO62/1000</f>
        <v>20.782515000689834</v>
      </c>
      <c r="AP63" s="685">
        <f>0.86*AP62/1000</f>
        <v>25.71331105463992</v>
      </c>
      <c r="AQ63" s="680">
        <f t="shared" ref="AQ63" si="140">0.86*AQ62/1000</f>
        <v>26.001632549435836</v>
      </c>
      <c r="AR63" s="686">
        <f t="shared" ref="AR63" si="141">0.86*AR62/1000</f>
        <v>28.75816956886591</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75" thickBot="1" x14ac:dyDescent="0.3">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25">
      <c r="A65" s="671" t="s">
        <v>1206</v>
      </c>
      <c r="B65" s="650" t="s">
        <v>842</v>
      </c>
      <c r="C65" s="324">
        <f>(C62+C38-C71*$D$156)*($D$158-1)</f>
        <v>38386.776382092787</v>
      </c>
      <c r="D65" s="672">
        <f>C65*(($D$35+$D$71)/($C$35+$C$71))</f>
        <v>44038.565752901755</v>
      </c>
      <c r="E65" s="672">
        <f>$C65*(($E$35+$E$71)/($C$35+$C$71))</f>
        <v>46727.098174569241</v>
      </c>
      <c r="F65" s="74"/>
      <c r="G65" s="735" t="s">
        <v>1206</v>
      </c>
      <c r="H65" s="736" t="s">
        <v>842</v>
      </c>
      <c r="I65" s="347">
        <f>(I62+I38-I71*$D$156)*($D$158-1)</f>
        <v>7634.7803115944826</v>
      </c>
      <c r="J65" s="672">
        <f>I65*((J$35+J$71)/(I$35+I$71))</f>
        <v>7544.7123895160075</v>
      </c>
      <c r="K65" s="672">
        <f>IFERROR(I65*((K$35+K$71)/(I$35+I$71)),0)</f>
        <v>8037.0815188170636</v>
      </c>
      <c r="L65" s="349">
        <f>(L62+L38-L71*$D$156)*($D$158-1)</f>
        <v>6542.4614521105304</v>
      </c>
      <c r="M65" s="672">
        <f>L65*((M$35+M$71)/(L$35+L$71))</f>
        <v>7222.0993500162867</v>
      </c>
      <c r="N65" s="672">
        <f>IFERROR(L65*((N$35+N$71)/(L$35+L$71)),0)</f>
        <v>7830.5120111007855</v>
      </c>
      <c r="O65" s="737">
        <f>(O62+O38-O71*$D$156)*($D$158-1)</f>
        <v>5457.946851504088</v>
      </c>
      <c r="P65" s="672">
        <f>O65*((P$35+P$71)/(O$35+O$71))</f>
        <v>4966.4668242731605</v>
      </c>
      <c r="Q65" s="672">
        <f>IFERROR(O65*((Q$35+Q$71)/(O$35+O$71)),0)</f>
        <v>5446.4002559705168</v>
      </c>
      <c r="R65" s="737">
        <f>(R62+R38-R71*$D$156)*($D$158-1)</f>
        <v>2772.8842661937174</v>
      </c>
      <c r="S65" s="672">
        <f>R65*((S$35+S$71)/(R$35+R$71))</f>
        <v>3799.0753311659382</v>
      </c>
      <c r="T65" s="672">
        <f>IFERROR(R65*((T$35+T$71)/(R$35+R$71)),0)</f>
        <v>6509.340668532458</v>
      </c>
      <c r="U65" s="374">
        <f>(U62+U38-U71*$D$156)*($D$158-1)</f>
        <v>-399.64787395503231</v>
      </c>
      <c r="V65" s="672">
        <f>IFERROR(U65*((V$35+V$71)/(U$35+U$71)),0)</f>
        <v>-2514.7056159827712</v>
      </c>
      <c r="W65" s="672">
        <f>IFERROR(U65*((W$35+W$71)/(U$35+U$71)),0)</f>
        <v>-1058.651514755881</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276.93676857257276</v>
      </c>
      <c r="AH65" s="672">
        <f>IFERROR(AG65*((AH$35+AH$71)/(AG$35+AG$71)),0)</f>
        <v>96.027522935779885</v>
      </c>
      <c r="AI65" s="672">
        <f>IFERROR(AG65*((AI$35+AI$71)/(AG$35+AG$71)),0)</f>
        <v>0</v>
      </c>
      <c r="AJ65" s="737">
        <f>(AJ62+AJ38-AJ71*$D$156)*($D$158-1)</f>
        <v>2824.1688529664152</v>
      </c>
      <c r="AK65" s="672">
        <f>IFERROR(AJ65*((AK$35+AK$71)/(AJ$35+AJ$71)),0)</f>
        <v>3666.9481417200559</v>
      </c>
      <c r="AL65" s="672">
        <f>IFERROR(AJ65*((AL$35+AL$71)/(AJ$35+AJ$71)),0)</f>
        <v>3238.5182509223291</v>
      </c>
      <c r="AM65" s="347">
        <f>(AM62+AM38-AM71*$D$156)*($D$158-1)</f>
        <v>5045.1859570455945</v>
      </c>
      <c r="AN65" s="672">
        <f>IFERROR(AM65*((AN$35+AN$71)/(AM$35+AM$71)),0)</f>
        <v>6271.4779184242652</v>
      </c>
      <c r="AO65" s="672">
        <f>IFERROR(AM65*((AO$35+AO$71)/(AM$35+AM$71)),0)</f>
        <v>5391.4720835527678</v>
      </c>
      <c r="AP65" s="740">
        <f>(AP62+AP38-AP71*$D$156)*($D$158-1)</f>
        <v>6949.9338297682907</v>
      </c>
      <c r="AQ65" s="672">
        <f>IFERROR(AP65*((AQ$35+AQ$71)/(AP$35+AP$71)),0)</f>
        <v>7027.8629345138252</v>
      </c>
      <c r="AR65" s="672">
        <f>IFERROR(AP65*((AR$35+AR$71)/(AP$35+AP$71)),0)</f>
        <v>7772.9147811482826</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25">
      <c r="A66" s="358" t="s">
        <v>874</v>
      </c>
      <c r="B66" s="359" t="s">
        <v>1184</v>
      </c>
      <c r="C66" s="658">
        <f>0.86*C65/1000</f>
        <v>33.012627688599792</v>
      </c>
      <c r="D66" s="377">
        <f>0.86*D65/1000</f>
        <v>37.873166547495508</v>
      </c>
      <c r="E66" s="732">
        <f>0.86*E65/1000</f>
        <v>40.185304430129548</v>
      </c>
      <c r="F66" s="74"/>
      <c r="G66" s="379" t="s">
        <v>874</v>
      </c>
      <c r="H66" s="380" t="s">
        <v>1184</v>
      </c>
      <c r="I66" s="723">
        <f t="shared" ref="I66:O66" si="142">0.86*I65/1000</f>
        <v>6.5659110679712551</v>
      </c>
      <c r="J66" s="680">
        <f t="shared" si="142"/>
        <v>6.4884526549837664</v>
      </c>
      <c r="K66" s="724">
        <f t="shared" si="142"/>
        <v>6.9118901061826747</v>
      </c>
      <c r="L66" s="741">
        <f t="shared" si="142"/>
        <v>5.6265168488150561</v>
      </c>
      <c r="M66" s="683">
        <f t="shared" si="142"/>
        <v>6.2110054410140068</v>
      </c>
      <c r="N66" s="681">
        <f t="shared" si="142"/>
        <v>6.734240329546676</v>
      </c>
      <c r="O66" s="728">
        <f t="shared" si="142"/>
        <v>4.6938342922935155</v>
      </c>
      <c r="P66" s="717">
        <f t="shared" si="129"/>
        <v>4.129183486238535</v>
      </c>
      <c r="Q66" s="718">
        <f t="shared" ref="Q66" si="143">O66*($Q$35/$O$35)</f>
        <v>4.6805686576512375</v>
      </c>
      <c r="R66" s="742">
        <f>0.86*R65/1000</f>
        <v>2.384680468926597</v>
      </c>
      <c r="S66" s="725">
        <f>0.86*S65/1000</f>
        <v>3.2672047848027068</v>
      </c>
      <c r="T66" s="726">
        <f>0.86*T65/1000</f>
        <v>5.5980329749379134</v>
      </c>
      <c r="U66" s="685">
        <f>0.86*U65/1000</f>
        <v>-0.34369717160132779</v>
      </c>
      <c r="V66" s="680">
        <f t="shared" ref="V66:W66" si="144">0.86*V65/1000</f>
        <v>-2.1626468297451833</v>
      </c>
      <c r="W66" s="686">
        <f t="shared" si="144"/>
        <v>-0.9104403026900576</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0.23816562097241256</v>
      </c>
      <c r="AH66" s="680">
        <f t="shared" ref="AH66" si="148">0.86*AH65/1000</f>
        <v>8.25836697247707E-2</v>
      </c>
      <c r="AI66" s="686">
        <f>0.86*AI65/1000</f>
        <v>0</v>
      </c>
      <c r="AJ66" s="723">
        <f t="shared" ref="AJ66" si="149">0.86*AJ65/1000</f>
        <v>2.4287852135511172</v>
      </c>
      <c r="AK66" s="680">
        <f t="shared" ref="AK66" si="150">0.86*AK65/1000</f>
        <v>3.1535754018792481</v>
      </c>
      <c r="AL66" s="724">
        <f t="shared" ref="AL66" si="151">0.86*AL65/1000</f>
        <v>2.7851256957932029</v>
      </c>
      <c r="AM66" s="682">
        <f>0.86*AM65/1000</f>
        <v>4.3388599230592106</v>
      </c>
      <c r="AN66" s="680">
        <f t="shared" ref="AN66" si="152">0.86*AN65/1000</f>
        <v>5.3934710098448679</v>
      </c>
      <c r="AO66" s="686">
        <f t="shared" ref="AO66" si="153">0.86*AO65/1000</f>
        <v>4.6366659918553808</v>
      </c>
      <c r="AP66" s="688">
        <f>0.86*AP65/1000</f>
        <v>5.9769430936007302</v>
      </c>
      <c r="AQ66" s="680">
        <f t="shared" ref="AQ66" si="154">0.86*AQ65/1000</f>
        <v>6.0439621236818892</v>
      </c>
      <c r="AR66" s="686">
        <f t="shared" ref="AR66" si="155">0.86*AR65/1000</f>
        <v>6.6847067117875234</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
      <c r="A67" s="385" t="s">
        <v>874</v>
      </c>
      <c r="B67" s="386" t="s">
        <v>1181</v>
      </c>
      <c r="C67" s="620"/>
      <c r="D67" s="690"/>
      <c r="E67" s="734">
        <f>(E65/$E$35)*100</f>
        <v>7.7838356138299991</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25">
      <c r="A68" s="671" t="s">
        <v>1200</v>
      </c>
      <c r="B68" s="650" t="s">
        <v>842</v>
      </c>
      <c r="C68" s="348">
        <f>C71*(1-$D$156)</f>
        <v>79146.287999999986</v>
      </c>
      <c r="D68" s="672">
        <f>C68*(($D$35+$D$71)/($C$35+$C$71))</f>
        <v>90799.210996317444</v>
      </c>
      <c r="E68" s="672">
        <f>$C68*(($E$35+$E$71)/($C$35+$C$71))</f>
        <v>96342.45743161584</v>
      </c>
      <c r="F68" s="74"/>
      <c r="G68" s="735" t="s">
        <v>1200</v>
      </c>
      <c r="H68" s="736" t="s">
        <v>842</v>
      </c>
      <c r="I68" s="327">
        <f>I71*(1-$D$156)</f>
        <v>11101.967999999999</v>
      </c>
      <c r="J68" s="672">
        <f>I68*((J$35+J$71)/(I$35+I$71))</f>
        <v>10970.99747459756</v>
      </c>
      <c r="K68" s="672">
        <f>IFERROR(I68*((K$35+K$71)/(I$35+I$71)),0)</f>
        <v>11686.966512945251</v>
      </c>
      <c r="L68" s="349">
        <f>L71*(1-$D$156)</f>
        <v>10027.583999999999</v>
      </c>
      <c r="M68" s="672">
        <f>L68*((M$35+M$71)/(L$35+L$71))</f>
        <v>11069.260158234742</v>
      </c>
      <c r="N68" s="672">
        <f>IFERROR(L68*((N$35+N$71)/(L$35+L$71)),0)</f>
        <v>12001.769904046121</v>
      </c>
      <c r="O68" s="347">
        <f>O71*(1-$D$156)</f>
        <v>11101.967999999999</v>
      </c>
      <c r="P68" s="672">
        <f>O68*((P$35+P$71)/(O$35+O$71))</f>
        <v>10102.252230790331</v>
      </c>
      <c r="Q68" s="672">
        <f>IFERROR(O68*((Q$35+Q$71)/(O$35+O$71)),0)</f>
        <v>11078.48115822408</v>
      </c>
      <c r="R68" s="349">
        <f>R71*(1-$D$156)</f>
        <v>10743.839999999998</v>
      </c>
      <c r="S68" s="672">
        <f>R68*((S$35+S$71)/(R$35+R$71))</f>
        <v>14719.928272384066</v>
      </c>
      <c r="T68" s="672">
        <f>IFERROR(R68*((T$35+T$71)/(R$35+R$71)),0)</f>
        <v>25221.144459882042</v>
      </c>
      <c r="U68" s="744">
        <f>U71*(1-$D$156)</f>
        <v>7162.5599999999986</v>
      </c>
      <c r="V68" s="672">
        <f>IFERROR(U68*((V$35+V$71)/(U$35+U$71)),0)</f>
        <v>45068.999563451209</v>
      </c>
      <c r="W68" s="672">
        <f>IFERROR(U68*((W$35+W$71)/(U$35+U$71)),0)</f>
        <v>18973.34000176132</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10743.839999999998</v>
      </c>
      <c r="AK68" s="672">
        <f>IFERROR(AJ68*((AK$35+AK$71)/(AJ$35+AJ$71)),0)</f>
        <v>13949.981808473016</v>
      </c>
      <c r="AL68" s="672">
        <f>IFERROR(AJ68*((AL$35+AL$71)/(AJ$35+AJ$71)),0)</f>
        <v>12320.128057655878</v>
      </c>
      <c r="AM68" s="327">
        <f>AM71*(1-$D$156)</f>
        <v>10743.839999999998</v>
      </c>
      <c r="AN68" s="672">
        <f>IFERROR(AM68*((AN$35+AN$71)/(AM$35+AM$71)),0)</f>
        <v>13355.257049541973</v>
      </c>
      <c r="AO68" s="672">
        <f>IFERROR(AM68*((AO$35+AO$71)/(AM$35+AM$71)),0)</f>
        <v>11481.264302907452</v>
      </c>
      <c r="AP68" s="746">
        <f>AP71*(1-$D$156)</f>
        <v>11101.967999999999</v>
      </c>
      <c r="AQ68" s="672">
        <f>IFERROR(AP68*((AQ$35+AQ$71)/(AP$35+AP$71)),0)</f>
        <v>11226.453563221889</v>
      </c>
      <c r="AR68" s="672">
        <f>IFERROR(AP68*((AR$35+AR$71)/(AP$35+AP$71)),0)</f>
        <v>12416.614788102561</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25">
      <c r="A69" s="358" t="s">
        <v>874</v>
      </c>
      <c r="B69" s="359" t="s">
        <v>1184</v>
      </c>
      <c r="C69" s="361">
        <f>0.86*C68/1000</f>
        <v>68.065807679999978</v>
      </c>
      <c r="D69" s="367">
        <f>0.86*D68/1000</f>
        <v>78.087321456832996</v>
      </c>
      <c r="E69" s="747">
        <f>0.86*E68/1000</f>
        <v>82.854513391189627</v>
      </c>
      <c r="F69" s="74"/>
      <c r="G69" s="379" t="s">
        <v>874</v>
      </c>
      <c r="H69" s="380" t="s">
        <v>1184</v>
      </c>
      <c r="I69" s="748">
        <f>0.86*I68/1000</f>
        <v>9.5476924800000003</v>
      </c>
      <c r="J69" s="749">
        <f t="shared" ref="J69:M69" si="156">0.86*J68/1000</f>
        <v>9.4350578281539015</v>
      </c>
      <c r="K69" s="750">
        <f t="shared" si="156"/>
        <v>10.050791201132915</v>
      </c>
      <c r="L69" s="741">
        <f>0.86*L68/1000</f>
        <v>8.6237222399999993</v>
      </c>
      <c r="M69" s="749">
        <f t="shared" si="156"/>
        <v>9.5195637360818779</v>
      </c>
      <c r="N69" s="750">
        <f t="shared" ref="N69" si="157">0.86*N68/1000</f>
        <v>10.321522117479665</v>
      </c>
      <c r="O69" s="682">
        <f>0.86*O68/1000</f>
        <v>9.5476924800000003</v>
      </c>
      <c r="P69" s="749">
        <f t="shared" ref="P69" si="158">0.86*P68/1000</f>
        <v>8.6879369184796857</v>
      </c>
      <c r="Q69" s="750">
        <f t="shared" ref="Q69" si="159">0.86*Q68/1000</f>
        <v>9.5274937960727097</v>
      </c>
      <c r="R69" s="743">
        <f>0.86*R68/1000</f>
        <v>9.2397023999999988</v>
      </c>
      <c r="S69" s="749">
        <f t="shared" ref="S69" si="160">0.86*S68/1000</f>
        <v>12.659138314250296</v>
      </c>
      <c r="T69" s="750">
        <f t="shared" ref="T69" si="161">0.86*T68/1000</f>
        <v>21.690184235498556</v>
      </c>
      <c r="U69" s="751">
        <f>0.86*U68/1000</f>
        <v>6.1598015999999989</v>
      </c>
      <c r="V69" s="680">
        <f t="shared" ref="V69:W69" si="162">0.86*V68/1000</f>
        <v>38.759339624568042</v>
      </c>
      <c r="W69" s="686">
        <f t="shared" si="162"/>
        <v>16.317072401514736</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9.2397023999999988</v>
      </c>
      <c r="AK69" s="749">
        <f t="shared" ref="AK69" si="167">0.86*AK68/1000</f>
        <v>11.996984355286793</v>
      </c>
      <c r="AL69" s="724">
        <f t="shared" ref="AL69" si="168">0.86*AL68/1000</f>
        <v>10.595310129584055</v>
      </c>
      <c r="AM69" s="723">
        <f>0.86*AM68/1000</f>
        <v>9.2397023999999988</v>
      </c>
      <c r="AN69" s="680">
        <f t="shared" ref="AN69:AO69" si="169">0.86*AN68/1000</f>
        <v>11.485521062606097</v>
      </c>
      <c r="AO69" s="752">
        <f t="shared" si="169"/>
        <v>9.8738873005004084</v>
      </c>
      <c r="AP69" s="753">
        <f>0.86*AP68/1000</f>
        <v>9.5476924800000003</v>
      </c>
      <c r="AQ69" s="680">
        <f t="shared" ref="AQ69:AR69" si="170">0.86*AQ68/1000</f>
        <v>9.6547500643708251</v>
      </c>
      <c r="AR69" s="752">
        <f t="shared" si="170"/>
        <v>10.678288717768202</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
      <c r="A70" s="385" t="s">
        <v>874</v>
      </c>
      <c r="B70" s="386" t="s">
        <v>1181</v>
      </c>
      <c r="C70" s="754">
        <f>(C68/$C$35)*100</f>
        <v>17.024129717110448</v>
      </c>
      <c r="D70" s="755">
        <f>(D68/$E$35)*100</f>
        <v>15.125401744837019</v>
      </c>
      <c r="E70" s="734">
        <f>(E68/$E$35)*100</f>
        <v>16.048799959254588</v>
      </c>
      <c r="F70" s="74"/>
      <c r="G70" s="362" t="s">
        <v>874</v>
      </c>
      <c r="H70" s="388" t="s">
        <v>1181</v>
      </c>
      <c r="I70" s="756">
        <f>(I68/I35)*100</f>
        <v>12.006583286864634</v>
      </c>
      <c r="J70" s="757">
        <f t="shared" ref="J70:K70" si="171">(J68/J35)*100</f>
        <v>12.041101085464804</v>
      </c>
      <c r="K70" s="758">
        <f t="shared" si="171"/>
        <v>11.863978940270506</v>
      </c>
      <c r="L70" s="756">
        <f>(L68/L35)*100</f>
        <v>12.655262204243545</v>
      </c>
      <c r="M70" s="757">
        <f t="shared" ref="M70" si="172">(M68/M35)*100</f>
        <v>12.360844835049013</v>
      </c>
      <c r="N70" s="758">
        <f t="shared" ref="N70" si="173">(N68/N35)*100</f>
        <v>12.149437467859652</v>
      </c>
      <c r="O70" s="756">
        <f>(O68/O35)*100</f>
        <v>16.795258030556294</v>
      </c>
      <c r="P70" s="757">
        <f t="shared" ref="P70" si="174">(P68/P35)*100</f>
        <v>17.372746742545711</v>
      </c>
      <c r="Q70" s="758">
        <f t="shared" ref="Q70" si="175">(Q68/Q35)*100</f>
        <v>16.807227010542146</v>
      </c>
      <c r="R70" s="756">
        <f>(R68/R35)*100</f>
        <v>31.992177454401482</v>
      </c>
      <c r="S70" s="757">
        <f t="shared" ref="S70" si="176">(S68/S35)*100</f>
        <v>27.277715688439653</v>
      </c>
      <c r="T70" s="758">
        <f t="shared" ref="T70" si="177">(T68/T35)*100</f>
        <v>23.398417772851083</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25">
      <c r="A71" s="350" t="s">
        <v>1202</v>
      </c>
      <c r="B71" s="351" t="s">
        <v>842</v>
      </c>
      <c r="C71" s="352">
        <f>D148*D150*D146*0.024*D157</f>
        <v>158292.57599999997</v>
      </c>
      <c r="D71" s="759">
        <f>C71</f>
        <v>158292.57599999997</v>
      </c>
      <c r="E71" s="760">
        <f>C71</f>
        <v>158292.57599999997</v>
      </c>
      <c r="F71" s="419"/>
      <c r="G71" s="344" t="s">
        <v>1202</v>
      </c>
      <c r="H71" s="346" t="s">
        <v>842</v>
      </c>
      <c r="I71" s="353">
        <f>$D$148*D150*'Ввод исходных данных'!I252*0.024*$D$157</f>
        <v>22203.935999999998</v>
      </c>
      <c r="J71" s="761">
        <f>IF('Ввод исходных данных'!D186&lt;&gt;0,I71,0)</f>
        <v>22203.935999999998</v>
      </c>
      <c r="K71" s="708">
        <f>J71</f>
        <v>22203.935999999998</v>
      </c>
      <c r="L71" s="353">
        <f>$D$148*D150*'Ввод исходных данных'!I253*0.024*$D$157</f>
        <v>20055.167999999998</v>
      </c>
      <c r="M71" s="761">
        <f>IF('Ввод исходных данных'!D187&lt;&gt;0,L71,0)</f>
        <v>20055.167999999998</v>
      </c>
      <c r="N71" s="708">
        <f>M71</f>
        <v>20055.167999999998</v>
      </c>
      <c r="O71" s="353">
        <f>$D$148*D150*'Ввод исходных данных'!I254*0.024*$D$157</f>
        <v>22203.935999999998</v>
      </c>
      <c r="P71" s="761">
        <f>IF('Ввод исходных данных'!D188&lt;&gt;0,O71,0)</f>
        <v>22203.935999999998</v>
      </c>
      <c r="Q71" s="708">
        <f>P71</f>
        <v>22203.935999999998</v>
      </c>
      <c r="R71" s="353">
        <f>$D$148*D150*'Ввод исходных данных'!I255*0.024*$D$157</f>
        <v>21487.679999999997</v>
      </c>
      <c r="S71" s="761">
        <f>IF('Ввод исходных данных'!D189&lt;&gt;0,R71,0)</f>
        <v>21487.679999999997</v>
      </c>
      <c r="T71" s="708">
        <f>S71</f>
        <v>21487.679999999997</v>
      </c>
      <c r="U71" s="353">
        <f>IF(U38=0,0,$D$148*D150*'Ввод исходных данных'!I256*0.024*$D$157)</f>
        <v>14325.119999999997</v>
      </c>
      <c r="V71" s="761">
        <f>IF('Ввод исходных данных'!D186&lt;&gt;0,U71,0)</f>
        <v>14325.119999999997</v>
      </c>
      <c r="W71" s="708">
        <f>V71</f>
        <v>14325.119999999997</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21487.679999999997</v>
      </c>
      <c r="AK71" s="761">
        <f>IF('Ввод исходных данных'!D194&lt;&gt;0,AJ71,0)</f>
        <v>21487.679999999997</v>
      </c>
      <c r="AL71" s="708">
        <f>AK71</f>
        <v>21487.679999999997</v>
      </c>
      <c r="AM71" s="353">
        <f>$D$148*D150*'Ввод исходных данных'!I262*0.024*$D$157</f>
        <v>21487.679999999997</v>
      </c>
      <c r="AN71" s="761">
        <f>IF('Ввод исходных данных'!D195&lt;&gt;0,AM71,0)</f>
        <v>21487.679999999997</v>
      </c>
      <c r="AO71" s="708">
        <f>AN71</f>
        <v>21487.679999999997</v>
      </c>
      <c r="AP71" s="353">
        <f>$D$148*D150*'Ввод исходных данных'!I263*0.024*$D$157</f>
        <v>22203.935999999998</v>
      </c>
      <c r="AQ71" s="762">
        <f>IF('Ввод исходных данных'!D196&lt;&gt;0,AP71,0)</f>
        <v>22203.935999999998</v>
      </c>
      <c r="AR71" s="708">
        <f>AQ71</f>
        <v>22203.935999999998</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
      <c r="A72" s="358" t="s">
        <v>874</v>
      </c>
      <c r="B72" s="359" t="s">
        <v>1184</v>
      </c>
      <c r="C72" s="361">
        <f>0.86*C71/1000</f>
        <v>136.13161535999996</v>
      </c>
      <c r="D72" s="361">
        <f>0.86*D71/1000</f>
        <v>136.13161535999996</v>
      </c>
      <c r="E72" s="361">
        <f>0.86*E71/1000</f>
        <v>136.13161535999996</v>
      </c>
      <c r="F72" s="74"/>
      <c r="G72" s="362" t="s">
        <v>874</v>
      </c>
      <c r="H72" s="363" t="s">
        <v>1184</v>
      </c>
      <c r="I72" s="365">
        <f>0.86*I71/1000</f>
        <v>19.095384960000001</v>
      </c>
      <c r="J72" s="364">
        <f t="shared" ref="J72:K72" si="178">0.86*J71/1000</f>
        <v>19.095384960000001</v>
      </c>
      <c r="K72" s="763">
        <f t="shared" si="178"/>
        <v>19.095384960000001</v>
      </c>
      <c r="L72" s="365">
        <f>0.86*L71/1000</f>
        <v>17.247444479999999</v>
      </c>
      <c r="M72" s="364">
        <f t="shared" ref="M72" si="179">0.86*M71/1000</f>
        <v>17.247444479999999</v>
      </c>
      <c r="N72" s="763">
        <f t="shared" ref="N72" si="180">0.86*N71/1000</f>
        <v>17.247444479999999</v>
      </c>
      <c r="O72" s="366">
        <f>0.86*O71/1000</f>
        <v>19.095384960000001</v>
      </c>
      <c r="P72" s="364">
        <f t="shared" ref="P72" si="181">0.86*P71/1000</f>
        <v>19.095384960000001</v>
      </c>
      <c r="Q72" s="763">
        <f t="shared" ref="Q72" si="182">0.86*Q71/1000</f>
        <v>19.095384960000001</v>
      </c>
      <c r="R72" s="367">
        <f>0.86*R71/1000</f>
        <v>18.479404799999998</v>
      </c>
      <c r="S72" s="764">
        <f t="shared" ref="S72" si="183">0.86*S71/1000</f>
        <v>18.479404799999998</v>
      </c>
      <c r="T72" s="765">
        <f t="shared" ref="T72" si="184">0.86*T71/1000</f>
        <v>18.479404799999998</v>
      </c>
      <c r="U72" s="368">
        <f>0.86*U71/1000</f>
        <v>12.319603199999998</v>
      </c>
      <c r="V72" s="680">
        <f t="shared" ref="V72:W72" si="185">0.86*V71/1000</f>
        <v>12.319603199999998</v>
      </c>
      <c r="W72" s="686">
        <f t="shared" si="185"/>
        <v>12.319603199999998</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18.479404799999998</v>
      </c>
      <c r="AK72" s="364">
        <f t="shared" ref="AK72:AL72" si="190">0.86*AK71/1000</f>
        <v>18.479404799999998</v>
      </c>
      <c r="AL72" s="763">
        <f t="shared" si="190"/>
        <v>18.479404799999998</v>
      </c>
      <c r="AM72" s="366">
        <f>0.86*AM71/1000</f>
        <v>18.479404799999998</v>
      </c>
      <c r="AN72" s="364">
        <f t="shared" ref="AN72:AO72" si="191">0.86*AN71/1000</f>
        <v>18.479404799999998</v>
      </c>
      <c r="AO72" s="763">
        <f t="shared" si="191"/>
        <v>18.479404799999998</v>
      </c>
      <c r="AP72" s="371">
        <f>0.86*AP71/1000</f>
        <v>19.095384960000001</v>
      </c>
      <c r="AQ72" s="440">
        <f t="shared" ref="AQ72:AR72" si="192">0.86*AQ71/1000</f>
        <v>19.095384960000001</v>
      </c>
      <c r="AR72" s="768">
        <f t="shared" si="192"/>
        <v>19.095384960000001</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25">
      <c r="A73" s="329" t="s">
        <v>1207</v>
      </c>
      <c r="B73" s="322" t="s">
        <v>842</v>
      </c>
      <c r="C73" s="769"/>
      <c r="D73" s="770">
        <f>D35-$C$35</f>
        <v>91755.295039098943</v>
      </c>
      <c r="E73" s="771">
        <f>E35-$C$35</f>
        <v>135402.90279433527</v>
      </c>
      <c r="F73" s="74"/>
      <c r="G73" s="344" t="s">
        <v>1207</v>
      </c>
      <c r="H73" s="326" t="s">
        <v>842</v>
      </c>
      <c r="I73" s="373"/>
      <c r="J73" s="610">
        <f>J35-I35</f>
        <v>-1352.7636626441963</v>
      </c>
      <c r="K73" s="608">
        <f>K35-I35</f>
        <v>6042.3116466973152</v>
      </c>
      <c r="L73" s="373"/>
      <c r="M73" s="610">
        <f>M35-L35</f>
        <v>10314.522413328086</v>
      </c>
      <c r="N73" s="608">
        <f>N35-L35</f>
        <v>19548.095244751981</v>
      </c>
      <c r="O73" s="373"/>
      <c r="P73" s="772">
        <f>P35-O35</f>
        <v>-7951.8007571050111</v>
      </c>
      <c r="Q73" s="612">
        <f>Q35-O35</f>
        <v>-186.81578501398326</v>
      </c>
      <c r="R73" s="373"/>
      <c r="S73" s="772">
        <f>S35-R35</f>
        <v>20380.490553876123</v>
      </c>
      <c r="T73" s="612">
        <f>T35-R35</f>
        <v>74207.24757031101</v>
      </c>
      <c r="U73" s="374"/>
      <c r="V73" s="773">
        <f>V35-U35</f>
        <v>50197.179806788721</v>
      </c>
      <c r="W73" s="774">
        <f>W35-U35</f>
        <v>15640.29368715682</v>
      </c>
      <c r="X73" s="373"/>
      <c r="Y73" s="772">
        <f>Y35-X35</f>
        <v>-13083.75</v>
      </c>
      <c r="Z73" s="612">
        <f>Z35-X35</f>
        <v>0</v>
      </c>
      <c r="AA73" s="373"/>
      <c r="AB73" s="772">
        <f>AB35-AA35</f>
        <v>-13083.75</v>
      </c>
      <c r="AC73" s="612">
        <f>AC35-AA35</f>
        <v>0</v>
      </c>
      <c r="AD73" s="396"/>
      <c r="AE73" s="775">
        <f>AE35-AD35</f>
        <v>-13083.75</v>
      </c>
      <c r="AF73" s="776">
        <f>AF35-AD35</f>
        <v>0</v>
      </c>
      <c r="AG73" s="395"/>
      <c r="AH73" s="775">
        <f>AH35-AG35</f>
        <v>-2191.0119749344894</v>
      </c>
      <c r="AI73" s="776">
        <f>AI35-AG35</f>
        <v>-3354.0119749344894</v>
      </c>
      <c r="AJ73" s="373"/>
      <c r="AK73" s="772">
        <f>AK35-AJ35</f>
        <v>16619.27722518456</v>
      </c>
      <c r="AL73" s="612">
        <f>AL35-AJ35</f>
        <v>8170.8077127778233</v>
      </c>
      <c r="AM73" s="373"/>
      <c r="AN73" s="772">
        <f>AN35-AM35</f>
        <v>20074.592298003394</v>
      </c>
      <c r="AO73" s="612">
        <f>AO35-AM35</f>
        <v>5668.7583601795632</v>
      </c>
      <c r="AP73" s="373"/>
      <c r="AQ73" s="610">
        <f>AQ35-AP35</f>
        <v>1192.7791728063603</v>
      </c>
      <c r="AR73" s="612">
        <f>AR35-AP35</f>
        <v>12596.507320696124</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25">
      <c r="A74" s="358" t="s">
        <v>874</v>
      </c>
      <c r="B74" s="359" t="s">
        <v>1184</v>
      </c>
      <c r="C74" s="378"/>
      <c r="D74" s="377">
        <f>0.86*D73/1000</f>
        <v>78.909553733625089</v>
      </c>
      <c r="E74" s="659">
        <f>0.86*E73/1000</f>
        <v>116.44649640312834</v>
      </c>
      <c r="F74" s="74"/>
      <c r="G74" s="379" t="s">
        <v>874</v>
      </c>
      <c r="H74" s="380" t="s">
        <v>1184</v>
      </c>
      <c r="I74" s="382"/>
      <c r="J74" s="381">
        <f>J36-I36</f>
        <v>-1.1774784898740052</v>
      </c>
      <c r="K74" s="777">
        <f>K36-I36</f>
        <v>5.1811417245210976</v>
      </c>
      <c r="L74" s="382"/>
      <c r="M74" s="778">
        <f>M36-L36</f>
        <v>8.8566292754621543</v>
      </c>
      <c r="N74" s="777">
        <f>N36-L36</f>
        <v>16.796072810650372</v>
      </c>
      <c r="O74" s="382"/>
      <c r="P74" s="779">
        <f>P36-O36</f>
        <v>-6.8475486511103085</v>
      </c>
      <c r="Q74" s="780">
        <f>Q36-O36</f>
        <v>-0.17086337846109956</v>
      </c>
      <c r="R74" s="382"/>
      <c r="S74" s="779">
        <f>S36-R36</f>
        <v>17.518869876333468</v>
      </c>
      <c r="T74" s="780">
        <f>T36-R36</f>
        <v>63.801550028040161</v>
      </c>
      <c r="U74" s="383"/>
      <c r="V74" s="781">
        <f>V36-U36</f>
        <v>39</v>
      </c>
      <c r="W74" s="782">
        <f>W36-U36</f>
        <v>9.2864263803681002</v>
      </c>
      <c r="X74" s="382"/>
      <c r="Y74" s="779">
        <f>Y36-X36</f>
        <v>-11.25</v>
      </c>
      <c r="Z74" s="780">
        <f>Z36-X36</f>
        <v>0</v>
      </c>
      <c r="AA74" s="382"/>
      <c r="AB74" s="779">
        <f>AB36-AA36</f>
        <v>-11.25</v>
      </c>
      <c r="AC74" s="780">
        <f>AC36-AA36</f>
        <v>0</v>
      </c>
      <c r="AD74" s="382"/>
      <c r="AE74" s="779">
        <f>AE36-AD36</f>
        <v>-11.25</v>
      </c>
      <c r="AF74" s="780">
        <f>AF36-AD36</f>
        <v>0</v>
      </c>
      <c r="AG74" s="384"/>
      <c r="AH74" s="779">
        <f>AH36-AG36</f>
        <v>1</v>
      </c>
      <c r="AI74" s="780">
        <f>AI36-AG36</f>
        <v>0</v>
      </c>
      <c r="AJ74" s="382"/>
      <c r="AK74" s="779">
        <f>AK36-AJ36</f>
        <v>14.284712413658717</v>
      </c>
      <c r="AL74" s="780">
        <f>AL36-AJ36</f>
        <v>7.0203362207036548</v>
      </c>
      <c r="AM74" s="382"/>
      <c r="AN74" s="779">
        <f>AN36-AM36</f>
        <v>17.251585376282918</v>
      </c>
      <c r="AO74" s="780">
        <f>AO36-AM36</f>
        <v>4.8647978115160768</v>
      </c>
      <c r="AP74" s="382"/>
      <c r="AQ74" s="381">
        <f>AQ36-AP36</f>
        <v>1.0125780886134663</v>
      </c>
      <c r="AR74" s="780">
        <f>AR36-AP36</f>
        <v>10.818019316377672</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5" customHeight="1" thickBot="1" x14ac:dyDescent="0.3">
      <c r="A75" s="385" t="s">
        <v>874</v>
      </c>
      <c r="B75" s="386" t="s">
        <v>1181</v>
      </c>
      <c r="C75" s="378"/>
      <c r="D75" s="387">
        <f>(D73/$C$35)*100</f>
        <v>19.736289400930101</v>
      </c>
      <c r="E75" s="783">
        <f>(E73/$C$35)*100</f>
        <v>29.124759221102835</v>
      </c>
      <c r="F75" s="74"/>
      <c r="G75" s="362" t="s">
        <v>874</v>
      </c>
      <c r="H75" s="388" t="s">
        <v>1181</v>
      </c>
      <c r="I75" s="390"/>
      <c r="J75" s="389">
        <f>(J73/I35)*100</f>
        <v>-1.4629901277846953</v>
      </c>
      <c r="K75" s="784">
        <f>(K73/I35)*100</f>
        <v>6.5346538587810299</v>
      </c>
      <c r="L75" s="390"/>
      <c r="M75" s="785">
        <f>(M73/L35)*100</f>
        <v>13.017391392803477</v>
      </c>
      <c r="N75" s="784">
        <f>(N73/L35)*100</f>
        <v>24.670575775367499</v>
      </c>
      <c r="O75" s="391"/>
      <c r="P75" s="786">
        <f>IFERROR((P73/O35)*100,0)</f>
        <v>-12.029628037403057</v>
      </c>
      <c r="Q75" s="787">
        <f>IFERROR((Q73/O35)*100,0)</f>
        <v>-0.28261829916018316</v>
      </c>
      <c r="R75" s="390"/>
      <c r="S75" s="786">
        <f>IFERROR((S73/R35)*100,0)</f>
        <v>60.687451638088262</v>
      </c>
      <c r="T75" s="787">
        <f>IFERROR((T73/R35)*100,0)</f>
        <v>220.96861389150374</v>
      </c>
      <c r="U75" s="392"/>
      <c r="V75" s="786">
        <f>IFERROR((V73/U35)*100,0)</f>
        <v>-1037.0932860052712</v>
      </c>
      <c r="W75" s="787">
        <f>IFERROR((W73/U35)*100,0)</f>
        <v>-323.13455928269696</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-65.325108893723737</v>
      </c>
      <c r="AI75" s="787">
        <f>IFERROR((AI73/AG35)*100,0)</f>
        <v>-100</v>
      </c>
      <c r="AJ75" s="390"/>
      <c r="AK75" s="786">
        <f>IFERROR((AK73/AJ35)*100,0)</f>
        <v>48.588946722708052</v>
      </c>
      <c r="AL75" s="787">
        <f>IFERROR((AL73/AJ35)*100,0)</f>
        <v>23.88858042731427</v>
      </c>
      <c r="AM75" s="390"/>
      <c r="AN75" s="786">
        <f>IFERROR((AN73/AM35)*100,0)</f>
        <v>32.853796826994966</v>
      </c>
      <c r="AO75" s="787">
        <f>IFERROR((AO73/AM35)*100,0)</f>
        <v>9.2774106025152925</v>
      </c>
      <c r="AP75" s="390"/>
      <c r="AQ75" s="389">
        <f>(AQ73/AP35)*100</f>
        <v>1.4170833295723619</v>
      </c>
      <c r="AR75" s="788">
        <f>(AR73/AP35)*100</f>
        <v>14.965301995504051</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25">
      <c r="A76" s="789" t="s">
        <v>1208</v>
      </c>
      <c r="B76" s="790" t="s">
        <v>1346</v>
      </c>
      <c r="C76" s="791">
        <f>C35/('Ввод исходных данных'!$G$45++'Ввод исходных данных'!D23)</f>
        <v>180.19632324065932</v>
      </c>
      <c r="D76" s="672">
        <f>D35/('Ввод исходных данных'!$G$45+'Ввод исходных данных'!$D$23)</f>
        <v>215.76039108527132</v>
      </c>
      <c r="E76" s="792">
        <f>E35/('Ввод исходных данных'!$G$45+'Ввод исходных данных'!$D$23)</f>
        <v>232.67806850978153</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75" thickBot="1" x14ac:dyDescent="0.3">
      <c r="A77" s="385" t="s">
        <v>874</v>
      </c>
      <c r="B77" s="397" t="s">
        <v>1209</v>
      </c>
      <c r="C77" s="399">
        <f>C76*0.86/1000</f>
        <v>0.15496883798696701</v>
      </c>
      <c r="D77" s="398">
        <f t="shared" ref="D77:E77" si="193">D76*0.86/1000</f>
        <v>0.18555393633333334</v>
      </c>
      <c r="E77" s="801">
        <f t="shared" si="193"/>
        <v>0.20010313891841211</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25">
      <c r="A80" s="407">
        <f>C38</f>
        <v>334488.2894206128</v>
      </c>
      <c r="B80" s="408">
        <f>C62</f>
        <v>171177.73615819553</v>
      </c>
      <c r="C80" s="408">
        <f>C65</f>
        <v>38386.776382092787</v>
      </c>
      <c r="D80" s="409">
        <f>C68</f>
        <v>79146.287999999986</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
      <c r="A82" s="1785" t="s">
        <v>1210</v>
      </c>
      <c r="B82" s="1785"/>
      <c r="C82" s="1785"/>
      <c r="D82" s="1785"/>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50000000000003" customHeight="1" x14ac:dyDescent="0.25">
      <c r="A83" s="1768" t="s">
        <v>834</v>
      </c>
      <c r="B83" s="1778" t="s">
        <v>1174</v>
      </c>
      <c r="C83" s="1776" t="s">
        <v>1175</v>
      </c>
      <c r="D83" s="1772" t="s">
        <v>1176</v>
      </c>
      <c r="E83" s="74"/>
      <c r="F83" s="74"/>
      <c r="G83" s="1781" t="s">
        <v>834</v>
      </c>
      <c r="H83" s="1786" t="s">
        <v>1174</v>
      </c>
      <c r="I83" s="1766" t="s">
        <v>488</v>
      </c>
      <c r="J83" s="1767"/>
      <c r="K83" s="1766" t="s">
        <v>489</v>
      </c>
      <c r="L83" s="1767"/>
      <c r="M83" s="1766" t="s">
        <v>490</v>
      </c>
      <c r="N83" s="1767"/>
      <c r="O83" s="1766" t="s">
        <v>491</v>
      </c>
      <c r="P83" s="1767"/>
      <c r="Q83" s="1766" t="s">
        <v>805</v>
      </c>
      <c r="R83" s="1767"/>
      <c r="S83" s="1766" t="s">
        <v>806</v>
      </c>
      <c r="T83" s="1767"/>
      <c r="U83" s="1766" t="s">
        <v>807</v>
      </c>
      <c r="V83" s="1767"/>
      <c r="W83" s="1766" t="s">
        <v>808</v>
      </c>
      <c r="X83" s="1767"/>
      <c r="Y83" s="1766" t="s">
        <v>809</v>
      </c>
      <c r="Z83" s="1767"/>
      <c r="AA83" s="1766" t="s">
        <v>482</v>
      </c>
      <c r="AB83" s="1767"/>
      <c r="AC83" s="1766" t="s">
        <v>486</v>
      </c>
      <c r="AD83" s="1767"/>
      <c r="AE83" s="1766" t="s">
        <v>487</v>
      </c>
      <c r="AF83" s="1767"/>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50000000000003" customHeight="1" thickBot="1" x14ac:dyDescent="0.3">
      <c r="A84" s="1769"/>
      <c r="B84" s="1779"/>
      <c r="C84" s="1777"/>
      <c r="D84" s="1773"/>
      <c r="E84" s="74"/>
      <c r="F84" s="74"/>
      <c r="G84" s="1782"/>
      <c r="H84" s="1787"/>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25">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181616.27884615384</v>
      </c>
      <c r="D85" s="807">
        <f>IF('Система ГВС'!F3=2,0,D86*1163)</f>
        <v>188890.1484508547</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17399.323224852069</v>
      </c>
      <c r="J85" s="811">
        <f>J86*1163*'Система ГВС'!$H$4</f>
        <v>18949.631249999999</v>
      </c>
      <c r="K85" s="810">
        <f>(0.024* (H167*($D$174-IF(H146&gt;=0.8*H165,$D$175,'Ввод исходных данных'!$D$109))*1*$D$177)/(3.6*24*$D$179))*(H170*$D$176+H146+(H170-H146))*(1-0.4*'Ввод исходных данных'!$D$21/'Ввод исходных данных'!$D$20)*'Ввод исходных данных'!$G$45*'Система ГВС'!$H$4</f>
        <v>15715.517751479289</v>
      </c>
      <c r="L85" s="811">
        <f>L86*1163*'Система ГВС'!$H$4</f>
        <v>19189.5</v>
      </c>
      <c r="M85" s="810">
        <f>(0.024* (I167*($D$174-IF(I146&gt;=0.8*I165,$D$175,'Ввод исходных данных'!$D$109))*1*$D$177)/(3.6*24*$D$179))*(I170*$D$176+I146+(I170-I146))*(1-0.4*'Ввод исходных данных'!$D$21/'Ввод исходных данных'!$D$20)*'Ввод исходных данных'!$G$45*'Система ГВС'!$H$4</f>
        <v>17399.323224852069</v>
      </c>
      <c r="N85" s="812">
        <f>N86*1163*'Система ГВС'!$H$4</f>
        <v>15831.337500000001</v>
      </c>
      <c r="O85" s="810">
        <f>(0.024* (J167*($D$174-IF(J146&gt;=0.8*J165,$D$175,'Ввод исходных данных'!$D$109))*1*$D$177)/(3.6*24*$D$179))*(J170*$D$176+J146+(J170-J146))*(1-0.4*'Ввод исходных данных'!$D$21/'Ввод исходных данных'!$D$20)*'Ввод исходных данных'!$G$45*'Система ГВС'!$H$4</f>
        <v>16838.054733727811</v>
      </c>
      <c r="P85" s="811">
        <f>P86*1163*'Система ГВС'!$H$4</f>
        <v>19909.106249999997</v>
      </c>
      <c r="Q85" s="810">
        <f>(0.024* (K167*($D$174-IF(K146&gt;=0.8*K165,$D$175,'Ввод исходных данных'!$D$109))*1*$D$177)/(3.6*24*$D$179))*(K170*$D$176+K146+(K170-K146))*(1-0.4*'Ввод исходных данных'!$D$21/'Ввод исходных данных'!$D$20)*'Ввод исходных данных'!$G$45*'Система ГВС'!$H$4</f>
        <v>12812.228920118343</v>
      </c>
      <c r="R85" s="813">
        <f>R86*1163*'Система ГВС'!$H$4</f>
        <v>12952.912499999999</v>
      </c>
      <c r="S85" s="810">
        <f>(0.024* (L167*($D$174-IF(L146&gt;=0.8*L165,$D$175,'Ввод исходных данных'!$D$109))*1*$D$177)/(3.6*24*$D$179))*(L170*$D$176+L146+(L170-L146))*(1-0.4*'Ввод исходных данных'!$D$21/'Ввод исходных данных'!$D$20)*'Ввод исходных данных'!$G$45*'Система ГВС'!$H$4</f>
        <v>12398.931213017753</v>
      </c>
      <c r="T85" s="813">
        <f>T86*1163*'Система ГВС'!$H$4</f>
        <v>13083.75</v>
      </c>
      <c r="U85" s="810">
        <f>(0.024* (M167*($D$174-IF(M146&gt;=0.8*M165,$D$175,'Ввод исходных данных'!$D$109))*1*$D$177)/(3.6*24*$D$179))*(M170*$D$176+M146+(M170-M146))*(1-0.4*'Ввод исходных данных'!$D$21/'Ввод исходных данных'!$D$20)*'Ввод исходных данных'!$G$45*'Система ГВС'!$H$4</f>
        <v>7026.0610207100581</v>
      </c>
      <c r="V85" s="812">
        <f>V86*1163*'Система ГВС'!$H$4</f>
        <v>13083.75</v>
      </c>
      <c r="W85" s="810">
        <f>(0.024* (N167*($D$174-IF(N146&gt;=0.8*N165,$D$175,'Ввод исходных данных'!$D$109))*1*$D$177)/(3.6*24*$D$179))*(N170*$D$176+N146+(N170-N146))*(1-0.4*'Ввод исходных данных'!$D$21/'Ввод исходных данных'!$D$20)*'Ввод исходных данных'!$G$45*'Система ГВС'!$H$4</f>
        <v>12812.228920118343</v>
      </c>
      <c r="X85" s="811">
        <f>X86*1163*'Система ГВС'!$H$4</f>
        <v>13083.75</v>
      </c>
      <c r="Y85" s="810">
        <f>(0.024* (O167*($D$174-IF(G146&gt;=0.8*O165,$D$175,'Ввод исходных данных'!$D$109))*1*$D$177)/(3.6*24*$D$179))*(O170*$D$176+O146+(O170-O146))*(1-0.4*'Ввод исходных данных'!$D$21/'Ввод исходных данных'!$D$20)*'Ввод исходных данных'!$G$45*'Система ГВС'!$H$4</f>
        <v>15154.249260355029</v>
      </c>
      <c r="Z85" s="811">
        <f>Z86*1163*'Система ГВС'!$H$4</f>
        <v>13083.75</v>
      </c>
      <c r="AA85" s="810">
        <f>(0.024* (P167*($D$174-IF(P146&gt;=0.8*P165,$D$175,'Ввод исходных данных'!$D$109))*1*$D$177)/(3.6*24*$D$179))*(P170*$D$176+P146+(P170-P146))*(1-0.4*'Ввод исходных данных'!$D$21/'Ввод исходных данных'!$D$20)*'Ввод исходных данных'!$G$45*'Система ГВС'!$H$4</f>
        <v>17399.323224852069</v>
      </c>
      <c r="AB85" s="811">
        <f>AB86*1163*'Система ГВС'!$H$4</f>
        <v>15991.25</v>
      </c>
      <c r="AC85" s="810">
        <f>(0.024* (Q167*($D$174-IF(Q146&gt;=0.8*Q165,$D$175,'Ввод исходных данных'!$D$109))*1*$D$177)/(3.6*24*$D$179))*(Q170*$D$176+Q146+(Q170-Q146))*(1-0.4*'Ввод исходных данных'!$D$21/'Ввод исходных данных'!$D$20)*'Ввод исходных данных'!$G$45*'Система ГВС'!$H$4</f>
        <v>16838.054733727811</v>
      </c>
      <c r="AD85" s="811">
        <f>AD86*1163*'Система ГВС'!$H$4</f>
        <v>15991.25</v>
      </c>
      <c r="AE85" s="810">
        <f>(0.024* (R167*($D$174-IF(R146&gt;=0.8*R165,$D$175,'Ввод исходных данных'!$D$109))*1*$D$177)/(3.6*24*$D$179))*(R170*$D$176+R146+(R170-R146))*(1-0.4*'Ввод исходных данных'!$D$21/'Ввод исходных данных'!$D$20)*'Ввод исходных данных'!$G$45*'Система ГВС'!$H$4</f>
        <v>17399.323224852069</v>
      </c>
      <c r="AF85" s="811">
        <f>AF86*1163*'Система ГВС'!$H$4</f>
        <v>15751.381249999999</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75" thickBot="1" x14ac:dyDescent="0.3">
      <c r="A86" s="814" t="s">
        <v>874</v>
      </c>
      <c r="B86" s="386" t="s">
        <v>1184</v>
      </c>
      <c r="C86" s="815">
        <f>0.86*C85/1000</f>
        <v>156.18999980769232</v>
      </c>
      <c r="D86" s="816">
        <f>IF('Система ГВС'!F3=2,0,'Ввод исходных данных'!K198)</f>
        <v>162.41629273504273</v>
      </c>
      <c r="E86" s="74"/>
      <c r="F86" s="74"/>
      <c r="G86" s="544" t="s">
        <v>874</v>
      </c>
      <c r="H86" s="545" t="s">
        <v>1184</v>
      </c>
      <c r="I86" s="365">
        <f>0.86*I85/1000</f>
        <v>14.963417973372779</v>
      </c>
      <c r="J86" s="817">
        <f>'Ввод исходных данных'!K186*'Система ГВС'!$H$4</f>
        <v>16.293749999999999</v>
      </c>
      <c r="K86" s="365">
        <f>0.86*K85/1000</f>
        <v>13.515345266272188</v>
      </c>
      <c r="L86" s="817">
        <f>'Ввод исходных данных'!K187*'Система ГВС'!$H$4</f>
        <v>16.5</v>
      </c>
      <c r="M86" s="818">
        <f>0.86*M85/1000</f>
        <v>14.963417973372779</v>
      </c>
      <c r="N86" s="819">
        <f>'Ввод исходных данных'!K188*'Система ГВС'!$H$4</f>
        <v>13.612500000000001</v>
      </c>
      <c r="O86" s="365">
        <f>0.86*O85/1000</f>
        <v>14.480727071005917</v>
      </c>
      <c r="P86" s="817">
        <f>'Ввод исходных данных'!K189*'Система ГВС'!$H$4</f>
        <v>17.118749999999999</v>
      </c>
      <c r="Q86" s="818">
        <f>0.86*Q85/1000</f>
        <v>11.018516871301776</v>
      </c>
      <c r="R86" s="820">
        <f>'Ввод исходных данных'!K190*'Система ГВС'!$H$4</f>
        <v>11.137499999999999</v>
      </c>
      <c r="S86" s="764">
        <f>0.86*S85/1000</f>
        <v>10.663080843195269</v>
      </c>
      <c r="T86" s="821">
        <f>'Ввод исходных данных'!K191*'Система ГВС'!$H$4</f>
        <v>11.25</v>
      </c>
      <c r="U86" s="764">
        <f>0.86*U85/1000</f>
        <v>6.0424124778106494</v>
      </c>
      <c r="V86" s="822">
        <f>'Ввод исходных данных'!K192*'Система ГВС'!$H$4</f>
        <v>11.25</v>
      </c>
      <c r="W86" s="366">
        <f>0.86*W85/1000</f>
        <v>11.018516871301776</v>
      </c>
      <c r="X86" s="602">
        <f>'Ввод исходных данных'!K193*'Система ГВС'!$H$4</f>
        <v>11.25</v>
      </c>
      <c r="Y86" s="366">
        <f>0.86*Y85/1000</f>
        <v>13.032654363905325</v>
      </c>
      <c r="Z86" s="602">
        <f>'Ввод исходных данных'!K194*'Система ГВС'!$H$4</f>
        <v>11.25</v>
      </c>
      <c r="AA86" s="366">
        <f>0.86*AA85/1000</f>
        <v>14.963417973372779</v>
      </c>
      <c r="AB86" s="602">
        <f>'Ввод исходных данных'!K195*'Система ГВС'!$H$4</f>
        <v>13.75</v>
      </c>
      <c r="AC86" s="366">
        <f>0.86*AC85/1000</f>
        <v>14.480727071005917</v>
      </c>
      <c r="AD86" s="823">
        <f>'Ввод исходных данных'!K196*'Система ГВС'!$H$4</f>
        <v>13.75</v>
      </c>
      <c r="AE86" s="365">
        <f>0.86*AE85/1000</f>
        <v>14.963417973372779</v>
      </c>
      <c r="AF86" s="823">
        <f>'Ввод исходных данных'!K197*'Система ГВС'!$H$4</f>
        <v>13.543749999999999</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5" customHeight="1" x14ac:dyDescent="0.25">
      <c r="A87" s="824" t="s">
        <v>1214</v>
      </c>
      <c r="B87" s="825" t="s">
        <v>842</v>
      </c>
      <c r="C87" s="826"/>
      <c r="D87" s="827">
        <f>D85-C85</f>
        <v>7273.8696047008561</v>
      </c>
      <c r="E87" s="74"/>
      <c r="F87" s="74"/>
      <c r="G87" s="828" t="s">
        <v>1215</v>
      </c>
      <c r="H87" s="809" t="s">
        <v>842</v>
      </c>
      <c r="I87" s="829"/>
      <c r="J87" s="830">
        <f>J85-I85</f>
        <v>1550.3080251479296</v>
      </c>
      <c r="K87" s="829"/>
      <c r="L87" s="830">
        <f>L85-K85</f>
        <v>3473.9822485207114</v>
      </c>
      <c r="M87" s="829"/>
      <c r="N87" s="830">
        <f>N85-M85</f>
        <v>-1567.9857248520675</v>
      </c>
      <c r="O87" s="829"/>
      <c r="P87" s="830">
        <f>P85-O85</f>
        <v>3071.0515162721858</v>
      </c>
      <c r="Q87" s="829"/>
      <c r="R87" s="830">
        <f>R85-Q85</f>
        <v>140.68357988165553</v>
      </c>
      <c r="S87" s="829"/>
      <c r="T87" s="830">
        <f>T85-S85</f>
        <v>684.81878698224682</v>
      </c>
      <c r="U87" s="829"/>
      <c r="V87" s="830">
        <f>V85-U85</f>
        <v>6057.6889792899419</v>
      </c>
      <c r="W87" s="829"/>
      <c r="X87" s="830">
        <f>X85-W85</f>
        <v>271.52107988165699</v>
      </c>
      <c r="Y87" s="829"/>
      <c r="Z87" s="830">
        <f>Z85-Y85</f>
        <v>-2070.499260355029</v>
      </c>
      <c r="AA87" s="829"/>
      <c r="AB87" s="830">
        <f>AB85-AA85</f>
        <v>-1408.073224852069</v>
      </c>
      <c r="AC87" s="829"/>
      <c r="AD87" s="830">
        <f>AD85-AC85</f>
        <v>-846.80473372781125</v>
      </c>
      <c r="AE87" s="829"/>
      <c r="AF87" s="830">
        <f>AF85-AE85</f>
        <v>-1647.9419748520704</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25">
      <c r="A88" s="358" t="s">
        <v>874</v>
      </c>
      <c r="B88" s="359" t="s">
        <v>1184</v>
      </c>
      <c r="C88" s="831"/>
      <c r="D88" s="832">
        <f>D86-C86</f>
        <v>6.2262929273504142</v>
      </c>
      <c r="E88" s="74"/>
      <c r="F88" s="74"/>
      <c r="G88" s="833" t="s">
        <v>874</v>
      </c>
      <c r="H88" s="834" t="s">
        <v>1184</v>
      </c>
      <c r="I88" s="618"/>
      <c r="J88" s="615">
        <f>J86-I86</f>
        <v>1.3303320266272198</v>
      </c>
      <c r="K88" s="618"/>
      <c r="L88" s="615">
        <f>L86-K86</f>
        <v>2.9846547337278118</v>
      </c>
      <c r="M88" s="618"/>
      <c r="N88" s="615">
        <f>N86-M86</f>
        <v>-1.3509179733727787</v>
      </c>
      <c r="O88" s="618"/>
      <c r="P88" s="615">
        <f>P86-O86</f>
        <v>2.6380229289940811</v>
      </c>
      <c r="Q88" s="618"/>
      <c r="R88" s="615">
        <f>R86-Q86</f>
        <v>0.11898312869822369</v>
      </c>
      <c r="S88" s="618"/>
      <c r="T88" s="615">
        <f>T86-S86</f>
        <v>0.58691915680473095</v>
      </c>
      <c r="U88" s="618"/>
      <c r="V88" s="615">
        <f>V86-U86</f>
        <v>5.2075875221893506</v>
      </c>
      <c r="W88" s="618"/>
      <c r="X88" s="615">
        <f>X86-W86</f>
        <v>0.23148312869822441</v>
      </c>
      <c r="Y88" s="618"/>
      <c r="Z88" s="615">
        <f>Z86-Y86</f>
        <v>-1.7826543639053245</v>
      </c>
      <c r="AA88" s="618"/>
      <c r="AB88" s="615">
        <f>AB86-AA86</f>
        <v>-1.2134179733727795</v>
      </c>
      <c r="AC88" s="618"/>
      <c r="AD88" s="615">
        <f>AD86-AC86</f>
        <v>-0.73072707100591749</v>
      </c>
      <c r="AE88" s="618"/>
      <c r="AF88" s="615">
        <f>AF86-AE86</f>
        <v>-1.4196679733727802</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
      <c r="A89" s="385" t="s">
        <v>874</v>
      </c>
      <c r="B89" s="386" t="s">
        <v>1181</v>
      </c>
      <c r="C89" s="835"/>
      <c r="D89" s="836">
        <f>IF('Система ГВС'!F3=2,0,(D87/C85)*100)</f>
        <v>4.0050757844579072</v>
      </c>
      <c r="E89" s="74"/>
      <c r="F89" s="74"/>
      <c r="G89" s="544" t="s">
        <v>874</v>
      </c>
      <c r="H89" s="545" t="s">
        <v>1181</v>
      </c>
      <c r="I89" s="630"/>
      <c r="J89" s="837">
        <f>(J87/I85)*100</f>
        <v>8.9101627983643059</v>
      </c>
      <c r="K89" s="630"/>
      <c r="L89" s="837">
        <f>(L87/K85)*100</f>
        <v>22.105426645544075</v>
      </c>
      <c r="M89" s="630"/>
      <c r="N89" s="837">
        <f>(N87/M85)*100</f>
        <v>-9.011762725417146</v>
      </c>
      <c r="O89" s="630"/>
      <c r="P89" s="837">
        <f>(P87/O85)*100</f>
        <v>18.238754801768479</v>
      </c>
      <c r="Q89" s="630"/>
      <c r="R89" s="837">
        <f>(R87/Q85)*100</f>
        <v>1.0980414162031387</v>
      </c>
      <c r="S89" s="630"/>
      <c r="T89" s="837">
        <f>(T87/S85)*100</f>
        <v>5.5232082121985577</v>
      </c>
      <c r="U89" s="630"/>
      <c r="V89" s="837">
        <f>(V87/U85)*100</f>
        <v>86.217426256821042</v>
      </c>
      <c r="W89" s="630"/>
      <c r="X89" s="837">
        <f>(X87/W85)*100</f>
        <v>2.1192337537405552</v>
      </c>
      <c r="Y89" s="630"/>
      <c r="Z89" s="837">
        <f>(Z87/Y85)*100</f>
        <v>-13.6628296445648</v>
      </c>
      <c r="AA89" s="630"/>
      <c r="AB89" s="837">
        <f>(AB87/AA85)*100</f>
        <v>-8.0926896216334914</v>
      </c>
      <c r="AC89" s="630"/>
      <c r="AD89" s="837">
        <f>(AD87/AC85)*100</f>
        <v>-5.0291126090212881</v>
      </c>
      <c r="AE89" s="630"/>
      <c r="AF89" s="837">
        <f>(AF87/AE85)*100</f>
        <v>-9.4712992773089955</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75" thickBot="1" x14ac:dyDescent="0.3">
      <c r="A90" s="838" t="s">
        <v>1216</v>
      </c>
      <c r="B90" s="839" t="s">
        <v>1345</v>
      </c>
      <c r="C90" s="840">
        <f>IF('Система ГВС'!F3=2,0,D168*365*'Ввод исходных данных'!$D$22/1000*(1-0.4*'Ввод исходных данных'!D21/'Ввод исходных данных'!D20))</f>
        <v>2365.1999999999998</v>
      </c>
      <c r="D90" s="841">
        <f>IF('Система ГВС'!F3=2,0,'Ввод исходных данных'!F218)</f>
        <v>2519</v>
      </c>
      <c r="E90" s="74"/>
      <c r="F90" s="317"/>
      <c r="G90" s="842" t="s">
        <v>1219</v>
      </c>
      <c r="H90" s="839" t="s">
        <v>1345</v>
      </c>
      <c r="I90" s="843">
        <f>G167*G170*'Ввод исходных данных'!$D$22/1000*(1-0.4*'Ввод исходных данных'!D21/'Ввод исходных данных'!D20)*'Система ГВС'!$H$4</f>
        <v>216.9266272189349</v>
      </c>
      <c r="J90" s="844">
        <f>'Ввод исходных данных'!F206*'Система ГВС'!$H$4</f>
        <v>237</v>
      </c>
      <c r="K90" s="843">
        <f>H167*H165*'Ввод исходных данных'!$D$22/1000*(1-0.4*'Ввод исходных данных'!D21/'Ввод исходных данных'!D20)*'Система ГВС'!$H$4</f>
        <v>195.93372781065088</v>
      </c>
      <c r="L90" s="844">
        <f>'Ввод исходных данных'!$F$207*'Система ГВС'!$H$4</f>
        <v>240</v>
      </c>
      <c r="M90" s="843">
        <f>I167*I165*'Ввод исходных данных'!$D$22/1000*(1-0.4*'Ввод исходных данных'!D21/'Ввод исходных данных'!D20)*'Система ГВС'!$H$4</f>
        <v>216.9266272189349</v>
      </c>
      <c r="N90" s="844">
        <f>'Ввод исходных данных'!$F$208*'Система ГВС'!$H$4</f>
        <v>198</v>
      </c>
      <c r="O90" s="843">
        <f>J167*J165*'Ввод исходных данных'!$D$22/1000*(1-0.4*'Ввод исходных данных'!D21/'Ввод исходных данных'!D20)*'Система ГВС'!$H$4</f>
        <v>209.92899408284021</v>
      </c>
      <c r="P90" s="844">
        <f>'Ввод исходных данных'!$F$209*'Система ГВС'!$H$4</f>
        <v>249</v>
      </c>
      <c r="Q90" s="843">
        <f>K167*K165*'Ввод исходных данных'!$D$22/1000*(1-0.4*'Ввод исходных данных'!D21/'Ввод исходных данных'!D20)*'Система ГВС'!$H$4</f>
        <v>195.2339644970414</v>
      </c>
      <c r="R90" s="844">
        <f>'Ввод исходных данных'!$F$210*'Система ГВС'!$H$4</f>
        <v>198</v>
      </c>
      <c r="S90" s="843">
        <f>L167*L165*'Ввод исходных данных'!$D$22/1000*(1-0.4*'Ввод исходных данных'!D21/'Ввод исходных данных'!D20)*'Система ГВС'!$H$4</f>
        <v>188.93609467455622</v>
      </c>
      <c r="T90" s="844">
        <f>'Ввод исходных данных'!$F$211*'Система ГВС'!$H$4</f>
        <v>200</v>
      </c>
      <c r="U90" s="843">
        <f>M167*M170*'Ввод исходных данных'!$D$22/1000*(1-0.4*'Ввод исходных данных'!D21/'Ввод исходных данных'!D20)*'Система ГВС'!$H$4</f>
        <v>107.06378698224852</v>
      </c>
      <c r="V90" s="844">
        <f>'Ввод исходных данных'!$F$212*'Система ГВС'!$H$4</f>
        <v>200</v>
      </c>
      <c r="W90" s="843">
        <f>N167*N165*'Ввод исходных данных'!$D$22/1000*(1-0.4*'Ввод исходных данных'!D21/'Ввод исходных данных'!D20)*'Система ГВС'!$H$4</f>
        <v>195.2339644970414</v>
      </c>
      <c r="X90" s="845">
        <f>'Ввод исходных данных'!$F$213*'Система ГВС'!$H$4</f>
        <v>200</v>
      </c>
      <c r="Y90" s="843">
        <f>O167*O165*'Ввод исходных данных'!$D$22/1000*(1-0.4*'Ввод исходных данных'!D21/'Ввод исходных данных'!D20)*'Система ГВС'!$H$4</f>
        <v>188.93609467455622</v>
      </c>
      <c r="Z90" s="846">
        <f>'Ввод исходных данных'!$F$214*'Система ГВС'!$H$4</f>
        <v>200</v>
      </c>
      <c r="AA90" s="843">
        <f>P167*P165*'Ввод исходных данных'!$D$22/1000*(1-0.4*'Ввод исходных данных'!D21/'Ввод исходных данных'!D20)*'Система ГВС'!$H$4</f>
        <v>216.9266272189349</v>
      </c>
      <c r="AB90" s="845">
        <f>'Ввод исходных данных'!$F$215*'Система ГВС'!$H$4</f>
        <v>200</v>
      </c>
      <c r="AC90" s="843">
        <f>Q167*Q165*'Ввод исходных данных'!$D$22/1000*(1-0.4*'Ввод исходных данных'!D21/'Ввод исходных данных'!D20)*'Система ГВС'!$H$4</f>
        <v>209.92899408284021</v>
      </c>
      <c r="AD90" s="847">
        <f>'Ввод исходных данных'!$F$216*'Система ГВС'!$H$4</f>
        <v>200</v>
      </c>
      <c r="AE90" s="843">
        <f>R167*R165*'Ввод исходных данных'!$D$22/1000*(1-0.4*'Ввод исходных данных'!D21/'Ввод исходных данных'!D20)*'Система ГВС'!$H$4</f>
        <v>216.9266272189349</v>
      </c>
      <c r="AF90" s="664">
        <f>'Ввод исходных данных'!$F$217*'Система ГВС'!$H$4</f>
        <v>197</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5" customHeight="1" x14ac:dyDescent="0.25">
      <c r="A91" s="824" t="s">
        <v>1218</v>
      </c>
      <c r="B91" s="848" t="s">
        <v>1217</v>
      </c>
      <c r="C91" s="826"/>
      <c r="D91" s="849">
        <f>D90-C90</f>
        <v>153.80000000000018</v>
      </c>
      <c r="E91" s="74"/>
      <c r="F91" s="74"/>
      <c r="G91" s="828" t="s">
        <v>1220</v>
      </c>
      <c r="H91" s="809" t="s">
        <v>1217</v>
      </c>
      <c r="I91" s="850"/>
      <c r="J91" s="830">
        <f>J90-I90</f>
        <v>20.073372781065103</v>
      </c>
      <c r="K91" s="850"/>
      <c r="L91" s="830">
        <f>L90-K90</f>
        <v>44.066272189349121</v>
      </c>
      <c r="M91" s="850"/>
      <c r="N91" s="830">
        <f>N90-M90</f>
        <v>-18.926627218934897</v>
      </c>
      <c r="O91" s="850"/>
      <c r="P91" s="830">
        <f>P90-O90</f>
        <v>39.071005917159795</v>
      </c>
      <c r="Q91" s="829"/>
      <c r="R91" s="830">
        <f>R90-Q90</f>
        <v>2.7660355029586015</v>
      </c>
      <c r="S91" s="850"/>
      <c r="T91" s="830">
        <f>T90-S90</f>
        <v>11.063905325443784</v>
      </c>
      <c r="U91" s="829"/>
      <c r="V91" s="830">
        <f>V90-U90</f>
        <v>92.936213017751484</v>
      </c>
      <c r="W91" s="829"/>
      <c r="X91" s="830">
        <f>X90-W90</f>
        <v>4.7660355029586015</v>
      </c>
      <c r="Y91" s="829"/>
      <c r="Z91" s="830">
        <f>Z90-Y90</f>
        <v>11.063905325443784</v>
      </c>
      <c r="AA91" s="850"/>
      <c r="AB91" s="851">
        <f>AB90-AA90</f>
        <v>-16.926627218934897</v>
      </c>
      <c r="AC91" s="121"/>
      <c r="AD91" s="852">
        <f>AD90-AC90</f>
        <v>-9.9289940828402052</v>
      </c>
      <c r="AE91" s="829"/>
      <c r="AF91" s="830">
        <f>AF90-AE90</f>
        <v>-19.926627218934897</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45" customHeight="1" thickBot="1" x14ac:dyDescent="0.3">
      <c r="A92" s="385" t="s">
        <v>874</v>
      </c>
      <c r="B92" s="598" t="s">
        <v>1181</v>
      </c>
      <c r="C92" s="835"/>
      <c r="D92" s="853">
        <f>IF('Система ГВС'!F3=2,0,(D91/C90)*100)</f>
        <v>6.5026213428039989</v>
      </c>
      <c r="E92" s="74"/>
      <c r="F92" s="74"/>
      <c r="G92" s="544" t="s">
        <v>874</v>
      </c>
      <c r="H92" s="545" t="s">
        <v>1181</v>
      </c>
      <c r="I92" s="622"/>
      <c r="J92" s="854">
        <f>(J91/I90)*100</f>
        <v>9.253531038771877</v>
      </c>
      <c r="K92" s="622"/>
      <c r="L92" s="854">
        <f>(L91/K90)*100</f>
        <v>22.490396462999207</v>
      </c>
      <c r="M92" s="622"/>
      <c r="N92" s="854">
        <f>(N91/M90)*100</f>
        <v>-8.7248981195070385</v>
      </c>
      <c r="O92" s="622"/>
      <c r="P92" s="854">
        <f>(P91/O90)*100</f>
        <v>18.611533908337581</v>
      </c>
      <c r="Q92" s="630"/>
      <c r="R92" s="837">
        <f>(R91/Q90)*100</f>
        <v>1.416779867214405</v>
      </c>
      <c r="S92" s="622"/>
      <c r="T92" s="837">
        <f>(T91/S90)*100</f>
        <v>5.8558981779005439</v>
      </c>
      <c r="U92" s="630"/>
      <c r="V92" s="837">
        <f>(V91/U90)*100</f>
        <v>86.804526196295086</v>
      </c>
      <c r="W92" s="630"/>
      <c r="X92" s="837">
        <f>(X91/W90)*100</f>
        <v>2.4411917850650555</v>
      </c>
      <c r="Y92" s="630"/>
      <c r="Z92" s="837">
        <f>(Z91/Y90)*100</f>
        <v>5.8558981779005439</v>
      </c>
      <c r="AA92" s="622"/>
      <c r="AB92" s="837">
        <f>(AB91/AA90)*100</f>
        <v>-7.802927393441454</v>
      </c>
      <c r="AC92" s="620"/>
      <c r="AD92" s="837">
        <f>(AD91/AC90)*100</f>
        <v>-4.729691639889495</v>
      </c>
      <c r="AE92" s="630"/>
      <c r="AF92" s="837">
        <f>(AF91/AE90)*100</f>
        <v>-9.1858834825398326</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25">
      <c r="A93" s="824" t="s">
        <v>1221</v>
      </c>
      <c r="B93" s="825" t="s">
        <v>1190</v>
      </c>
      <c r="C93" s="855">
        <f>C85/('Ввод исходных данных'!$G$45+'Ввод исходных данных'!$G$23)</f>
        <v>70.393906529516997</v>
      </c>
      <c r="D93" s="856">
        <f>D85/('Ввод исходных данных'!$G$45+'Ввод исходных данных'!$G$23)</f>
        <v>73.213235833664612</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75" thickBot="1" x14ac:dyDescent="0.3">
      <c r="A94" s="385" t="s">
        <v>874</v>
      </c>
      <c r="B94" s="397" t="s">
        <v>1209</v>
      </c>
      <c r="C94" s="857">
        <f>IF('Система ГВС'!F3=2,0,C86/('Ввод исходных данных'!$G$45+'Ввод исходных данных'!D23))</f>
        <v>6.0538759615384616E-2</v>
      </c>
      <c r="D94" s="858">
        <f>D86/('Ввод исходных данных'!$G$45+'Ввод исходных данных'!D23)</f>
        <v>6.2952051447690976E-2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75" thickBot="1" x14ac:dyDescent="0.3">
      <c r="A95" s="859" t="s">
        <v>1222</v>
      </c>
      <c r="B95" s="860" t="s">
        <v>789</v>
      </c>
      <c r="C95" s="861">
        <f>IF('Система ГВС'!F3=2,0,D167*(1-0.4*'Ввод исходных данных'!D21/'Ввод исходных данных'!D20))</f>
        <v>58.313609467455613</v>
      </c>
      <c r="D95" s="862">
        <f>D90*1000/(365*'Ввод исходных данных'!$D$22)</f>
        <v>57.511415525114153</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5" thickBot="1" x14ac:dyDescent="0.3">
      <c r="A97" s="1780" t="s">
        <v>1186</v>
      </c>
      <c r="B97" s="1780"/>
      <c r="C97" s="1780"/>
      <c r="D97" s="1780"/>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25">
      <c r="A98" s="1792" t="s">
        <v>834</v>
      </c>
      <c r="B98" s="1799" t="s">
        <v>1174</v>
      </c>
      <c r="C98" s="1801" t="s">
        <v>1175</v>
      </c>
      <c r="D98" s="1803" t="s">
        <v>1176</v>
      </c>
      <c r="E98" s="74"/>
      <c r="F98" s="74"/>
      <c r="G98" s="1781" t="s">
        <v>834</v>
      </c>
      <c r="H98" s="1783" t="s">
        <v>1174</v>
      </c>
      <c r="I98" s="1766" t="s">
        <v>488</v>
      </c>
      <c r="J98" s="1767"/>
      <c r="K98" s="1766" t="s">
        <v>489</v>
      </c>
      <c r="L98" s="1767"/>
      <c r="M98" s="1766" t="s">
        <v>490</v>
      </c>
      <c r="N98" s="1767"/>
      <c r="O98" s="1766" t="s">
        <v>491</v>
      </c>
      <c r="P98" s="1767"/>
      <c r="Q98" s="1766" t="s">
        <v>805</v>
      </c>
      <c r="R98" s="1767"/>
      <c r="S98" s="1766" t="s">
        <v>806</v>
      </c>
      <c r="T98" s="1767"/>
      <c r="U98" s="1766" t="s">
        <v>807</v>
      </c>
      <c r="V98" s="1767"/>
      <c r="W98" s="1766" t="s">
        <v>808</v>
      </c>
      <c r="X98" s="1767"/>
      <c r="Y98" s="1766" t="s">
        <v>809</v>
      </c>
      <c r="Z98" s="1767"/>
      <c r="AA98" s="1766" t="s">
        <v>482</v>
      </c>
      <c r="AB98" s="1767"/>
      <c r="AC98" s="1766" t="s">
        <v>486</v>
      </c>
      <c r="AD98" s="1767"/>
      <c r="AE98" s="1766" t="s">
        <v>487</v>
      </c>
      <c r="AF98" s="1767"/>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
      <c r="A99" s="1793"/>
      <c r="B99" s="1800"/>
      <c r="C99" s="1802"/>
      <c r="D99" s="1804"/>
      <c r="E99" s="74"/>
      <c r="F99" s="74"/>
      <c r="G99" s="1782"/>
      <c r="H99" s="1784"/>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25">
      <c r="A100" s="804" t="s">
        <v>1224</v>
      </c>
      <c r="B100" s="863" t="s">
        <v>842</v>
      </c>
      <c r="C100" s="864">
        <f>C102+C104+C106+C111</f>
        <v>46136</v>
      </c>
      <c r="D100" s="841">
        <f>'Ввод исходных данных'!Y235*1000</f>
        <v>7800.07</v>
      </c>
      <c r="E100" s="74"/>
      <c r="F100" s="74"/>
      <c r="G100" s="808" t="s">
        <v>1225</v>
      </c>
      <c r="H100" s="865" t="s">
        <v>842</v>
      </c>
      <c r="I100" s="810">
        <f>I102+I104+I106+I111</f>
        <v>3844.6666666666665</v>
      </c>
      <c r="J100" s="866">
        <f>'Ввод исходных данных'!$Y$223*1000</f>
        <v>940.06999999999994</v>
      </c>
      <c r="K100" s="810">
        <f>K102+K104+K106+K111</f>
        <v>3844.6666666666665</v>
      </c>
      <c r="L100" s="866">
        <f>'Ввод исходных данных'!$Y$224*1000</f>
        <v>590</v>
      </c>
      <c r="M100" s="810">
        <f>M102+M104+M106+M111</f>
        <v>3844.6666666666665</v>
      </c>
      <c r="N100" s="866">
        <f>'Ввод исходных данных'!$Y$225*1000</f>
        <v>588</v>
      </c>
      <c r="O100" s="810">
        <f>O102+O104+O106+O111</f>
        <v>3844.6666666666665</v>
      </c>
      <c r="P100" s="866">
        <f>'Ввод исходных данных'!$Y$226*1000</f>
        <v>668</v>
      </c>
      <c r="Q100" s="810">
        <f>Q102+Q104+Q106+Q111</f>
        <v>3844.6666666666665</v>
      </c>
      <c r="R100" s="866">
        <f>'Ввод исходных данных'!$Y$227*1000</f>
        <v>1104</v>
      </c>
      <c r="S100" s="810">
        <f>S102+S104+S106+S111</f>
        <v>3844.6666666666665</v>
      </c>
      <c r="T100" s="866">
        <f>'Ввод исходных данных'!$Y$228*1000</f>
        <v>472</v>
      </c>
      <c r="U100" s="810">
        <f>U102+U104+U106+U111</f>
        <v>3844.6666666666665</v>
      </c>
      <c r="V100" s="866">
        <f>'Ввод исходных данных'!$Y$229*1000</f>
        <v>490</v>
      </c>
      <c r="W100" s="810">
        <f>W102+W104+W106+W111</f>
        <v>3844.6666666666665</v>
      </c>
      <c r="X100" s="866">
        <f>'Ввод исходных данных'!$Y$230*1000</f>
        <v>655</v>
      </c>
      <c r="Y100" s="810">
        <f>Y102+Y104+Y106+Y111</f>
        <v>3844.6666666666665</v>
      </c>
      <c r="Z100" s="866">
        <f>'Ввод исходных данных'!$Y$231*1000</f>
        <v>567</v>
      </c>
      <c r="AA100" s="810">
        <f>AA102+AA104+AA106+AA111</f>
        <v>3844.6666666666665</v>
      </c>
      <c r="AB100" s="866">
        <f>'Ввод исходных данных'!$Y$232*1000</f>
        <v>687</v>
      </c>
      <c r="AC100" s="810">
        <f>AC102+AC104+AC106+AC111</f>
        <v>3844.6666666666665</v>
      </c>
      <c r="AD100" s="866">
        <f>'Ввод исходных данных'!$Y$233*1000</f>
        <v>345</v>
      </c>
      <c r="AE100" s="810">
        <f>AE102+AE104+AE106+AE111</f>
        <v>3844.6666666666665</v>
      </c>
      <c r="AF100" s="866">
        <f>'Ввод исходных данных'!$Y$234*1000</f>
        <v>694</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95" customHeight="1" x14ac:dyDescent="0.25">
      <c r="A101" s="867" t="s">
        <v>874</v>
      </c>
      <c r="B101" s="868" t="s">
        <v>1181</v>
      </c>
      <c r="C101" s="869">
        <f>C100/$C$100</f>
        <v>1</v>
      </c>
      <c r="D101" s="870">
        <f>D100/$D$100</f>
        <v>1</v>
      </c>
      <c r="E101" s="74"/>
      <c r="F101" s="74"/>
      <c r="G101" s="871" t="s">
        <v>874</v>
      </c>
      <c r="H101" s="872" t="s">
        <v>1181</v>
      </c>
      <c r="I101" s="873">
        <f>I103+I105+I107+I112</f>
        <v>100</v>
      </c>
      <c r="J101" s="874">
        <f>J103+J105+J107+J112</f>
        <v>100</v>
      </c>
      <c r="K101" s="873">
        <f>K103+K105+K107+K112</f>
        <v>100</v>
      </c>
      <c r="L101" s="874">
        <f>L103+L105+L107+L112</f>
        <v>100</v>
      </c>
      <c r="M101" s="873">
        <f>M103+M105+M107+M112</f>
        <v>100</v>
      </c>
      <c r="N101" s="874">
        <f>N103+N105+N107+N112</f>
        <v>100</v>
      </c>
      <c r="O101" s="873">
        <f>O103+O105+O107+O112</f>
        <v>100</v>
      </c>
      <c r="P101" s="874">
        <f>P103+P105+P107+P112</f>
        <v>100</v>
      </c>
      <c r="Q101" s="873">
        <f>Q103+Q105+Q107+Q112</f>
        <v>100</v>
      </c>
      <c r="R101" s="874">
        <f>R103+R105+R107+R112</f>
        <v>100</v>
      </c>
      <c r="S101" s="873">
        <f>S103+S105+S107+S112</f>
        <v>100</v>
      </c>
      <c r="T101" s="874">
        <f>T103+T105+T107+T112</f>
        <v>100</v>
      </c>
      <c r="U101" s="873">
        <f>U103+U105+U107+U112</f>
        <v>100</v>
      </c>
      <c r="V101" s="874">
        <f>V103+V105+V107+V112</f>
        <v>100</v>
      </c>
      <c r="W101" s="873">
        <f>W103+W105+W107+W112</f>
        <v>100</v>
      </c>
      <c r="X101" s="874">
        <f>X103+X105+X107+X112</f>
        <v>100</v>
      </c>
      <c r="Y101" s="873">
        <f>Y103+Y105+Y107+Y112</f>
        <v>100</v>
      </c>
      <c r="Z101" s="874">
        <f>Z103+Z105+Z107+Z112</f>
        <v>100</v>
      </c>
      <c r="AA101" s="873">
        <f>AA103+AA105+AA107+AA112</f>
        <v>100</v>
      </c>
      <c r="AB101" s="874">
        <f>AB103+AB105+AB107+AB112</f>
        <v>100</v>
      </c>
      <c r="AC101" s="873">
        <f>AC103+AC105+AC107+AC112</f>
        <v>100</v>
      </c>
      <c r="AD101" s="874">
        <f>AD103+AD105+AD107+AD112</f>
        <v>100</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25">
      <c r="A102" s="876" t="s">
        <v>1226</v>
      </c>
      <c r="B102" s="877" t="s">
        <v>842</v>
      </c>
      <c r="C102" s="878">
        <f>SUM('Система электроснабжения'!B18:B22)</f>
        <v>46136</v>
      </c>
      <c r="D102" s="879">
        <f>'Ввод исходных данных'!Z235*1000</f>
        <v>7800.07</v>
      </c>
      <c r="E102" s="74"/>
      <c r="F102" s="74"/>
      <c r="G102" s="880" t="s">
        <v>1226</v>
      </c>
      <c r="H102" s="881" t="s">
        <v>842</v>
      </c>
      <c r="I102" s="882">
        <f>$C$102/12</f>
        <v>3844.6666666666665</v>
      </c>
      <c r="J102" s="875">
        <f>'Ввод исходных данных'!$Z$223*1000</f>
        <v>940.06999999999994</v>
      </c>
      <c r="K102" s="882">
        <f>$C$102/12</f>
        <v>3844.6666666666665</v>
      </c>
      <c r="L102" s="875">
        <f>'Ввод исходных данных'!$Z$224*1000</f>
        <v>590</v>
      </c>
      <c r="M102" s="882">
        <f>$C$102/12</f>
        <v>3844.6666666666665</v>
      </c>
      <c r="N102" s="875">
        <f>'Ввод исходных данных'!$Z$225*1000</f>
        <v>588</v>
      </c>
      <c r="O102" s="882">
        <f>$C$102/12</f>
        <v>3844.6666666666665</v>
      </c>
      <c r="P102" s="875">
        <f>'Ввод исходных данных'!$Z$226*1000</f>
        <v>668</v>
      </c>
      <c r="Q102" s="882">
        <f>$C$102/12</f>
        <v>3844.6666666666665</v>
      </c>
      <c r="R102" s="875">
        <f>'Ввод исходных данных'!$Z$227*1000</f>
        <v>1104</v>
      </c>
      <c r="S102" s="882">
        <f>$C$102/12</f>
        <v>3844.6666666666665</v>
      </c>
      <c r="T102" s="875">
        <f>'Ввод исходных данных'!$Z$228*1000</f>
        <v>472</v>
      </c>
      <c r="U102" s="882">
        <f>$C$102/12</f>
        <v>3844.6666666666665</v>
      </c>
      <c r="V102" s="875">
        <f>'Ввод исходных данных'!$Z$229*1000</f>
        <v>490</v>
      </c>
      <c r="W102" s="882">
        <f>$C$102/12</f>
        <v>3844.6666666666665</v>
      </c>
      <c r="X102" s="875">
        <f>'Ввод исходных данных'!$Z$230*1000</f>
        <v>655</v>
      </c>
      <c r="Y102" s="882">
        <f>$C$102/12</f>
        <v>3844.6666666666665</v>
      </c>
      <c r="Z102" s="875">
        <f>'Ввод исходных данных'!$Z$231*1000</f>
        <v>567</v>
      </c>
      <c r="AA102" s="882">
        <f>$C$102/12</f>
        <v>3844.6666666666665</v>
      </c>
      <c r="AB102" s="875">
        <f>'Ввод исходных данных'!$Z$232*1000</f>
        <v>687</v>
      </c>
      <c r="AC102" s="882">
        <f>$C$102/12</f>
        <v>3844.6666666666665</v>
      </c>
      <c r="AD102" s="875">
        <f>'Ввод исходных данных'!$Z$233*1000</f>
        <v>345</v>
      </c>
      <c r="AE102" s="882">
        <f>$C$102/12</f>
        <v>3844.6666666666665</v>
      </c>
      <c r="AF102" s="875">
        <f>'Ввод исходных данных'!$Z$234*1000</f>
        <v>694</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25">
      <c r="A103" s="358" t="s">
        <v>874</v>
      </c>
      <c r="B103" s="877" t="s">
        <v>1181</v>
      </c>
      <c r="C103" s="883">
        <f>C102/$C$100</f>
        <v>1</v>
      </c>
      <c r="D103" s="884">
        <f>D102/$D$100</f>
        <v>1</v>
      </c>
      <c r="E103" s="74"/>
      <c r="F103" s="74"/>
      <c r="G103" s="539" t="s">
        <v>874</v>
      </c>
      <c r="H103" s="881" t="s">
        <v>1181</v>
      </c>
      <c r="I103" s="882">
        <f t="shared" ref="I103:AF103" si="194">(I102/I100)*100</f>
        <v>100</v>
      </c>
      <c r="J103" s="885">
        <f t="shared" si="194"/>
        <v>100</v>
      </c>
      <c r="K103" s="886">
        <f t="shared" si="194"/>
        <v>100</v>
      </c>
      <c r="L103" s="887">
        <f t="shared" si="194"/>
        <v>100</v>
      </c>
      <c r="M103" s="886">
        <f t="shared" si="194"/>
        <v>100</v>
      </c>
      <c r="N103" s="887">
        <f t="shared" si="194"/>
        <v>100</v>
      </c>
      <c r="O103" s="886">
        <f t="shared" si="194"/>
        <v>100</v>
      </c>
      <c r="P103" s="887">
        <f t="shared" si="194"/>
        <v>100</v>
      </c>
      <c r="Q103" s="886">
        <f t="shared" si="194"/>
        <v>100</v>
      </c>
      <c r="R103" s="887">
        <f t="shared" si="194"/>
        <v>100</v>
      </c>
      <c r="S103" s="886">
        <f t="shared" si="194"/>
        <v>100</v>
      </c>
      <c r="T103" s="887">
        <f t="shared" si="194"/>
        <v>100</v>
      </c>
      <c r="U103" s="886">
        <f t="shared" si="194"/>
        <v>100</v>
      </c>
      <c r="V103" s="887">
        <f t="shared" si="194"/>
        <v>100</v>
      </c>
      <c r="W103" s="886">
        <f t="shared" si="194"/>
        <v>100</v>
      </c>
      <c r="X103" s="887">
        <f t="shared" si="194"/>
        <v>100</v>
      </c>
      <c r="Y103" s="886">
        <f t="shared" si="194"/>
        <v>100</v>
      </c>
      <c r="Z103" s="887">
        <f t="shared" si="194"/>
        <v>100</v>
      </c>
      <c r="AA103" s="886">
        <f t="shared" si="194"/>
        <v>100</v>
      </c>
      <c r="AB103" s="887">
        <f t="shared" si="194"/>
        <v>100</v>
      </c>
      <c r="AC103" s="886">
        <f t="shared" si="194"/>
        <v>100</v>
      </c>
      <c r="AD103" s="887">
        <f t="shared" si="194"/>
        <v>100</v>
      </c>
      <c r="AE103" s="886">
        <f t="shared" si="194"/>
        <v>100</v>
      </c>
      <c r="AF103" s="887">
        <f t="shared" si="194"/>
        <v>100</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25">
      <c r="A104" s="876" t="s">
        <v>1233</v>
      </c>
      <c r="B104" s="877" t="s">
        <v>842</v>
      </c>
      <c r="C104" s="878">
        <f>'Ввод исходных данных'!D140*'Ввод исходных данных'!D141</f>
        <v>0</v>
      </c>
      <c r="D104" s="879">
        <f>'Ввод исходных данных'!AA235*1000</f>
        <v>0</v>
      </c>
      <c r="E104" s="74"/>
      <c r="F104" s="74"/>
      <c r="G104" s="880" t="s">
        <v>1233</v>
      </c>
      <c r="H104" s="881" t="s">
        <v>842</v>
      </c>
      <c r="I104" s="888">
        <f>C104/12</f>
        <v>0</v>
      </c>
      <c r="J104" s="615">
        <f>'Ввод исходных данных'!$AA$223*1000</f>
        <v>0</v>
      </c>
      <c r="K104" s="888">
        <f>I104</f>
        <v>0</v>
      </c>
      <c r="L104" s="615">
        <f>'Ввод исходных данных'!$AA$224*1000</f>
        <v>0</v>
      </c>
      <c r="M104" s="888">
        <f>K104</f>
        <v>0</v>
      </c>
      <c r="N104" s="615">
        <f>'Ввод исходных данных'!$AA$225*1000</f>
        <v>0</v>
      </c>
      <c r="O104" s="888">
        <f>M104</f>
        <v>0</v>
      </c>
      <c r="P104" s="615">
        <f>'Ввод исходных данных'!$AA$226*1000</f>
        <v>0</v>
      </c>
      <c r="Q104" s="888">
        <f>O104</f>
        <v>0</v>
      </c>
      <c r="R104" s="615">
        <f>'Ввод исходных данных'!$AA$227*1000</f>
        <v>0</v>
      </c>
      <c r="S104" s="888">
        <f>Q104</f>
        <v>0</v>
      </c>
      <c r="T104" s="615">
        <f>'Ввод исходных данных'!$AA$228*1000</f>
        <v>0</v>
      </c>
      <c r="U104" s="888">
        <f>S104</f>
        <v>0</v>
      </c>
      <c r="V104" s="615">
        <f>'Ввод исходных данных'!$AA$229*1000</f>
        <v>0</v>
      </c>
      <c r="W104" s="888">
        <f>U104</f>
        <v>0</v>
      </c>
      <c r="X104" s="615">
        <f>'Ввод исходных данных'!$AA$230*1000</f>
        <v>0</v>
      </c>
      <c r="Y104" s="888">
        <f>W104</f>
        <v>0</v>
      </c>
      <c r="Z104" s="615">
        <f>'Ввод исходных данных'!$AA$231*1000</f>
        <v>0</v>
      </c>
      <c r="AA104" s="888">
        <f>Y104</f>
        <v>0</v>
      </c>
      <c r="AB104" s="615">
        <f>'Ввод исходных данных'!$AA$232*1000</f>
        <v>0</v>
      </c>
      <c r="AC104" s="888">
        <f>AA104</f>
        <v>0</v>
      </c>
      <c r="AD104" s="615">
        <f>'Ввод исходных данных'!$AA$233*1000</f>
        <v>0</v>
      </c>
      <c r="AE104" s="888">
        <f>AC104</f>
        <v>0</v>
      </c>
      <c r="AF104" s="615">
        <f>'Ввод исходных данных'!$AA$234*1000</f>
        <v>0</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25">
      <c r="A105" s="358" t="s">
        <v>874</v>
      </c>
      <c r="B105" s="877" t="s">
        <v>1181</v>
      </c>
      <c r="C105" s="883">
        <f>C104/$C$100</f>
        <v>0</v>
      </c>
      <c r="D105" s="884">
        <f>D104/$D$100</f>
        <v>0</v>
      </c>
      <c r="E105" s="74"/>
      <c r="F105" s="74"/>
      <c r="G105" s="539" t="s">
        <v>874</v>
      </c>
      <c r="H105" s="881" t="s">
        <v>1181</v>
      </c>
      <c r="I105" s="882">
        <f t="shared" ref="I105:AF105" si="195">(I104/I100)*100</f>
        <v>0</v>
      </c>
      <c r="J105" s="885">
        <f t="shared" si="195"/>
        <v>0</v>
      </c>
      <c r="K105" s="886">
        <f t="shared" si="195"/>
        <v>0</v>
      </c>
      <c r="L105" s="887">
        <f t="shared" si="195"/>
        <v>0</v>
      </c>
      <c r="M105" s="886">
        <f t="shared" si="195"/>
        <v>0</v>
      </c>
      <c r="N105" s="887">
        <f t="shared" si="195"/>
        <v>0</v>
      </c>
      <c r="O105" s="886">
        <f t="shared" si="195"/>
        <v>0</v>
      </c>
      <c r="P105" s="887">
        <f t="shared" si="195"/>
        <v>0</v>
      </c>
      <c r="Q105" s="886">
        <f t="shared" si="195"/>
        <v>0</v>
      </c>
      <c r="R105" s="887">
        <f t="shared" si="195"/>
        <v>0</v>
      </c>
      <c r="S105" s="886">
        <f t="shared" si="195"/>
        <v>0</v>
      </c>
      <c r="T105" s="887">
        <f t="shared" si="195"/>
        <v>0</v>
      </c>
      <c r="U105" s="886">
        <f t="shared" si="195"/>
        <v>0</v>
      </c>
      <c r="V105" s="887">
        <f t="shared" si="195"/>
        <v>0</v>
      </c>
      <c r="W105" s="886">
        <f t="shared" si="195"/>
        <v>0</v>
      </c>
      <c r="X105" s="887">
        <f t="shared" si="195"/>
        <v>0</v>
      </c>
      <c r="Y105" s="886">
        <f t="shared" si="195"/>
        <v>0</v>
      </c>
      <c r="Z105" s="887">
        <f t="shared" si="195"/>
        <v>0</v>
      </c>
      <c r="AA105" s="886">
        <f t="shared" si="195"/>
        <v>0</v>
      </c>
      <c r="AB105" s="887">
        <f t="shared" si="195"/>
        <v>0</v>
      </c>
      <c r="AC105" s="886">
        <f t="shared" si="195"/>
        <v>0</v>
      </c>
      <c r="AD105" s="887">
        <f t="shared" si="195"/>
        <v>0</v>
      </c>
      <c r="AE105" s="886">
        <f t="shared" si="195"/>
        <v>0</v>
      </c>
      <c r="AF105" s="887">
        <f t="shared" si="195"/>
        <v>0</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25">
      <c r="A106" s="876" t="s">
        <v>1235</v>
      </c>
      <c r="B106" s="877" t="s">
        <v>842</v>
      </c>
      <c r="C106" s="878">
        <f>C108+C109+C110</f>
        <v>0</v>
      </c>
      <c r="D106" s="879">
        <f>'Ввод исходных данных'!AB235*1000</f>
        <v>0</v>
      </c>
      <c r="E106" s="74"/>
      <c r="F106" s="74"/>
      <c r="G106" s="880" t="s">
        <v>1234</v>
      </c>
      <c r="H106" s="881" t="s">
        <v>842</v>
      </c>
      <c r="I106" s="878">
        <f>I108+I109+I110</f>
        <v>0</v>
      </c>
      <c r="J106" s="875">
        <f>'Ввод исходных данных'!$AB$223*1000</f>
        <v>0</v>
      </c>
      <c r="K106" s="878">
        <f>K108+K109+K110</f>
        <v>0</v>
      </c>
      <c r="L106" s="875">
        <f>'Ввод исходных данных'!$AB$224*1000</f>
        <v>0</v>
      </c>
      <c r="M106" s="878">
        <f>M108+M109+M110</f>
        <v>0</v>
      </c>
      <c r="N106" s="875">
        <f>'Ввод исходных данных'!$AB$225*1000</f>
        <v>0</v>
      </c>
      <c r="O106" s="878">
        <f>O108+O109+O110</f>
        <v>0</v>
      </c>
      <c r="P106" s="875">
        <f>'Ввод исходных данных'!$AB$226*1000</f>
        <v>0</v>
      </c>
      <c r="Q106" s="878">
        <f>Q108+Q109+Q110</f>
        <v>0</v>
      </c>
      <c r="R106" s="875">
        <f>'Ввод исходных данных'!$AB$227*1000</f>
        <v>0</v>
      </c>
      <c r="S106" s="878">
        <f>S108+S109+S110</f>
        <v>0</v>
      </c>
      <c r="T106" s="875">
        <f>'Ввод исходных данных'!$AB$228*1000</f>
        <v>0</v>
      </c>
      <c r="U106" s="878">
        <f>U108+U109+U110</f>
        <v>0</v>
      </c>
      <c r="V106" s="875">
        <f>'Ввод исходных данных'!$AB$229*1000</f>
        <v>0</v>
      </c>
      <c r="W106" s="878">
        <f>W108+W109+W110</f>
        <v>0</v>
      </c>
      <c r="X106" s="875">
        <f>'Ввод исходных данных'!$AB$230*1000</f>
        <v>0</v>
      </c>
      <c r="Y106" s="878">
        <f>Y108+Y109+Y110</f>
        <v>0</v>
      </c>
      <c r="Z106" s="875">
        <f>'Ввод исходных данных'!$AB$231*1000</f>
        <v>0</v>
      </c>
      <c r="AA106" s="878">
        <f>AA108+AA109+AA110</f>
        <v>0</v>
      </c>
      <c r="AB106" s="875">
        <f>'Ввод исходных данных'!$AB$232*1000</f>
        <v>0</v>
      </c>
      <c r="AC106" s="878">
        <f>AC108+AC109+AC110</f>
        <v>0</v>
      </c>
      <c r="AD106" s="875">
        <f>'Ввод исходных данных'!$AB$233*1000</f>
        <v>0</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0</v>
      </c>
      <c r="AF106" s="875">
        <f>'Ввод исходных данных'!$AB$234*1000</f>
        <v>0</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25">
      <c r="A107" s="358" t="s">
        <v>874</v>
      </c>
      <c r="B107" s="877" t="s">
        <v>1181</v>
      </c>
      <c r="C107" s="883">
        <f>C106/$C$100</f>
        <v>0</v>
      </c>
      <c r="D107" s="884">
        <f>D106/$D$100</f>
        <v>0</v>
      </c>
      <c r="E107" s="74"/>
      <c r="F107" s="74"/>
      <c r="G107" s="539" t="s">
        <v>874</v>
      </c>
      <c r="H107" s="881" t="s">
        <v>1181</v>
      </c>
      <c r="I107" s="886">
        <f t="shared" ref="I107:AF107" si="196">(I106/I100)*100</f>
        <v>0</v>
      </c>
      <c r="J107" s="887">
        <f t="shared" si="196"/>
        <v>0</v>
      </c>
      <c r="K107" s="886">
        <f t="shared" si="196"/>
        <v>0</v>
      </c>
      <c r="L107" s="887">
        <f t="shared" si="196"/>
        <v>0</v>
      </c>
      <c r="M107" s="886">
        <f t="shared" si="196"/>
        <v>0</v>
      </c>
      <c r="N107" s="887">
        <f t="shared" si="196"/>
        <v>0</v>
      </c>
      <c r="O107" s="886">
        <f t="shared" si="196"/>
        <v>0</v>
      </c>
      <c r="P107" s="887">
        <f t="shared" si="196"/>
        <v>0</v>
      </c>
      <c r="Q107" s="886">
        <f t="shared" si="196"/>
        <v>0</v>
      </c>
      <c r="R107" s="887">
        <f t="shared" si="196"/>
        <v>0</v>
      </c>
      <c r="S107" s="886">
        <f t="shared" si="196"/>
        <v>0</v>
      </c>
      <c r="T107" s="887">
        <f t="shared" si="196"/>
        <v>0</v>
      </c>
      <c r="U107" s="886">
        <f t="shared" si="196"/>
        <v>0</v>
      </c>
      <c r="V107" s="887">
        <f t="shared" si="196"/>
        <v>0</v>
      </c>
      <c r="W107" s="886">
        <f t="shared" si="196"/>
        <v>0</v>
      </c>
      <c r="X107" s="887">
        <f t="shared" si="196"/>
        <v>0</v>
      </c>
      <c r="Y107" s="886">
        <f t="shared" si="196"/>
        <v>0</v>
      </c>
      <c r="Z107" s="887">
        <f t="shared" si="196"/>
        <v>0</v>
      </c>
      <c r="AA107" s="886">
        <f t="shared" si="196"/>
        <v>0</v>
      </c>
      <c r="AB107" s="887">
        <f t="shared" si="196"/>
        <v>0</v>
      </c>
      <c r="AC107" s="886">
        <f t="shared" si="196"/>
        <v>0</v>
      </c>
      <c r="AD107" s="887">
        <f t="shared" si="196"/>
        <v>0</v>
      </c>
      <c r="AE107" s="886">
        <f t="shared" si="196"/>
        <v>0</v>
      </c>
      <c r="AF107" s="887">
        <f t="shared" si="196"/>
        <v>0</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25">
      <c r="A108" s="358" t="s">
        <v>1350</v>
      </c>
      <c r="B108" s="877" t="s">
        <v>842</v>
      </c>
      <c r="C108" s="889">
        <f>'Ввод исходных данных'!D146*'Ввод исходных данных'!D147</f>
        <v>0</v>
      </c>
      <c r="D108" s="890">
        <f>'Ввод исходных данных'!AC235*1000</f>
        <v>0</v>
      </c>
      <c r="E108" s="419"/>
      <c r="F108" s="74"/>
      <c r="G108" s="358" t="s">
        <v>1350</v>
      </c>
      <c r="H108" s="877" t="s">
        <v>842</v>
      </c>
      <c r="I108" s="886">
        <f>'Ввод исходных данных'!$D$146*'Расчет базового уровня'!$G$146*24</f>
        <v>0</v>
      </c>
      <c r="J108" s="887"/>
      <c r="K108" s="886">
        <f>'Ввод исходных данных'!$D$146*'Расчет базового уровня'!$H$146*24</f>
        <v>0</v>
      </c>
      <c r="L108" s="887"/>
      <c r="M108" s="886">
        <f>'Ввод исходных данных'!$D$146*'Расчет базового уровня'!$I$146*24</f>
        <v>0</v>
      </c>
      <c r="N108" s="887"/>
      <c r="O108" s="888">
        <f>'Ввод исходных данных'!$D$146*'Расчет базового уровня'!$J$146*24</f>
        <v>0</v>
      </c>
      <c r="P108" s="887"/>
      <c r="Q108" s="888">
        <f>'Ввод исходных данных'!$D$146*'Расчет базового уровня'!$K$146*24</f>
        <v>0</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0</v>
      </c>
      <c r="Z108" s="887"/>
      <c r="AA108" s="888">
        <f>'Ввод исходных данных'!$D$146*'Расчет базового уровня'!$P$146*24</f>
        <v>0</v>
      </c>
      <c r="AB108" s="887"/>
      <c r="AC108" s="888">
        <f>'Ввод исходных данных'!$D$146*'Расчет базового уровня'!$Q$146*24</f>
        <v>0</v>
      </c>
      <c r="AD108" s="887"/>
      <c r="AE108" s="886">
        <f>'Ввод исходных данных'!$D$146*'Расчет базового уровня'!$R$146*24</f>
        <v>0</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25">
      <c r="A109" s="358" t="s">
        <v>1410</v>
      </c>
      <c r="B109" s="877" t="s">
        <v>842</v>
      </c>
      <c r="C109" s="889">
        <f>'Ввод исходных данных'!D150*'Ввод исходных данных'!D151</f>
        <v>0</v>
      </c>
      <c r="D109" s="890">
        <f>'Ввод исходных данных'!AD235*1000</f>
        <v>0</v>
      </c>
      <c r="E109" s="74"/>
      <c r="F109" s="74"/>
      <c r="G109" s="358" t="s">
        <v>1410</v>
      </c>
      <c r="H109" s="877" t="s">
        <v>842</v>
      </c>
      <c r="I109" s="886">
        <f>'Ввод исходных данных'!$D$150*'Расчет базового уровня'!$G$170*24</f>
        <v>0</v>
      </c>
      <c r="J109" s="887"/>
      <c r="K109" s="886">
        <f>'Ввод исходных данных'!$D$150*'Расчет базового уровня'!$H$170*24</f>
        <v>0</v>
      </c>
      <c r="L109" s="887"/>
      <c r="M109" s="886">
        <f>'Ввод исходных данных'!$D$150*'Расчет базового уровня'!$I$170*24</f>
        <v>0</v>
      </c>
      <c r="N109" s="887"/>
      <c r="O109" s="888">
        <f>'Ввод исходных данных'!$D$150*'Расчет базового уровня'!$J$170*24</f>
        <v>0</v>
      </c>
      <c r="P109" s="887"/>
      <c r="Q109" s="888">
        <f>'Ввод исходных данных'!$D$150*'Расчет базового уровня'!$K$170*24</f>
        <v>0</v>
      </c>
      <c r="R109" s="887"/>
      <c r="S109" s="888">
        <f>'Ввод исходных данных'!$D$150*'Расчет базового уровня'!$L$170*24</f>
        <v>0</v>
      </c>
      <c r="T109" s="887"/>
      <c r="U109" s="888">
        <f>'Ввод исходных данных'!$D$150*'Расчет базового уровня'!$M$170*24</f>
        <v>0</v>
      </c>
      <c r="V109" s="887"/>
      <c r="W109" s="888">
        <f>'Ввод исходных данных'!$D$150*'Расчет базового уровня'!$N$170*24</f>
        <v>0</v>
      </c>
      <c r="X109" s="887"/>
      <c r="Y109" s="888">
        <f>'Ввод исходных данных'!$D$150*'Расчет базового уровня'!$O$170*24</f>
        <v>0</v>
      </c>
      <c r="Z109" s="887"/>
      <c r="AA109" s="888">
        <f>'Ввод исходных данных'!$D$150*'Расчет базового уровня'!$P$170*24</f>
        <v>0</v>
      </c>
      <c r="AB109" s="887"/>
      <c r="AC109" s="888">
        <f>'Ввод исходных данных'!$D$150*'Расчет базового уровня'!$Q$170*24</f>
        <v>0</v>
      </c>
      <c r="AD109" s="887"/>
      <c r="AE109" s="886">
        <f>'Ввод исходных данных'!$D$150*'Расчет базового уровня'!$R$170*24</f>
        <v>0</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25">
      <c r="A110" s="358" t="s">
        <v>1411</v>
      </c>
      <c r="B110" s="877" t="s">
        <v>842</v>
      </c>
      <c r="C110" s="889">
        <f>'Ввод исходных данных'!D154*'Ввод исходных данных'!D155</f>
        <v>0</v>
      </c>
      <c r="D110" s="890">
        <f>'Ввод исходных данных'!AE235*1000</f>
        <v>0</v>
      </c>
      <c r="E110" s="74"/>
      <c r="F110" s="74"/>
      <c r="G110" s="358" t="s">
        <v>1411</v>
      </c>
      <c r="H110" s="877" t="s">
        <v>842</v>
      </c>
      <c r="I110" s="886">
        <f>'Ввод исходных данных'!$D$154*'Расчет базового уровня'!$G$165*24</f>
        <v>0</v>
      </c>
      <c r="J110" s="887"/>
      <c r="K110" s="886">
        <f>'Ввод исходных данных'!$D$154*'Расчет базового уровня'!$H$165*24</f>
        <v>0</v>
      </c>
      <c r="L110" s="887"/>
      <c r="M110" s="886">
        <f>'Ввод исходных данных'!$D$154*'Расчет базового уровня'!$I$165*24</f>
        <v>0</v>
      </c>
      <c r="N110" s="887"/>
      <c r="O110" s="888">
        <f>'Ввод исходных данных'!$D$154*'Расчет базового уровня'!$J$165*24</f>
        <v>0</v>
      </c>
      <c r="P110" s="887"/>
      <c r="Q110" s="888">
        <f>'Ввод исходных данных'!$D$154*'Расчет базового уровня'!$K$165*24</f>
        <v>0</v>
      </c>
      <c r="R110" s="887"/>
      <c r="S110" s="888">
        <f>'Ввод исходных данных'!$D$154*'Расчет базового уровня'!$L$165*24</f>
        <v>0</v>
      </c>
      <c r="T110" s="887"/>
      <c r="U110" s="888">
        <f>'Ввод исходных данных'!$D$154*'Расчет базового уровня'!$M$165*24</f>
        <v>0</v>
      </c>
      <c r="V110" s="887"/>
      <c r="W110" s="888">
        <f>'Ввод исходных данных'!$D$154*'Расчет базового уровня'!$N$165*24</f>
        <v>0</v>
      </c>
      <c r="X110" s="887"/>
      <c r="Y110" s="888">
        <f>'Ввод исходных данных'!$D$154*'Расчет базового уровня'!$O$165*24</f>
        <v>0</v>
      </c>
      <c r="Z110" s="887"/>
      <c r="AA110" s="888">
        <f>'Ввод исходных данных'!$D$154*'Расчет базового уровня'!$P$165*24</f>
        <v>0</v>
      </c>
      <c r="AB110" s="887"/>
      <c r="AC110" s="888">
        <f>'Ввод исходных данных'!$D$154*'Расчет базового уровня'!$Q$165*24</f>
        <v>0</v>
      </c>
      <c r="AD110" s="887"/>
      <c r="AE110" s="886">
        <f>'Ввод исходных данных'!$D$154*'Расчет базового уровня'!$R$165*24</f>
        <v>0</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25">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25">
      <c r="A113" s="824" t="s">
        <v>1228</v>
      </c>
      <c r="B113" s="825" t="s">
        <v>842</v>
      </c>
      <c r="C113" s="658"/>
      <c r="D113" s="538">
        <f>D100-C100</f>
        <v>-38335.93</v>
      </c>
      <c r="E113" s="74"/>
      <c r="F113" s="74"/>
      <c r="G113" s="824" t="s">
        <v>1229</v>
      </c>
      <c r="H113" s="897" t="s">
        <v>842</v>
      </c>
      <c r="I113" s="898"/>
      <c r="J113" s="899">
        <f>J100-I100</f>
        <v>-2904.5966666666664</v>
      </c>
      <c r="K113" s="900"/>
      <c r="L113" s="901">
        <f>L100-K100</f>
        <v>-3254.6666666666665</v>
      </c>
      <c r="M113" s="902"/>
      <c r="N113" s="903">
        <f>N100-M100</f>
        <v>-3256.6666666666665</v>
      </c>
      <c r="O113" s="904"/>
      <c r="P113" s="903">
        <f>P100-O100</f>
        <v>-3176.6666666666665</v>
      </c>
      <c r="Q113" s="902"/>
      <c r="R113" s="903">
        <f>R100-Q100</f>
        <v>-2740.6666666666665</v>
      </c>
      <c r="S113" s="902"/>
      <c r="T113" s="903">
        <f>T100-S100</f>
        <v>-3372.6666666666665</v>
      </c>
      <c r="U113" s="902"/>
      <c r="V113" s="903">
        <f>V100-U100</f>
        <v>-3354.6666666666665</v>
      </c>
      <c r="W113" s="902"/>
      <c r="X113" s="903">
        <f>X100-W100</f>
        <v>-3189.6666666666665</v>
      </c>
      <c r="Y113" s="902"/>
      <c r="Z113" s="903">
        <f>Z100-Y100</f>
        <v>-3277.6666666666665</v>
      </c>
      <c r="AA113" s="902"/>
      <c r="AB113" s="903">
        <f>AB100-AA100</f>
        <v>-3157.6666666666665</v>
      </c>
      <c r="AC113" s="902"/>
      <c r="AD113" s="903">
        <f>AD100-AC100</f>
        <v>-3499.6666666666665</v>
      </c>
      <c r="AE113" s="902"/>
      <c r="AF113" s="903">
        <f>AF100-AE100</f>
        <v>-3150.6666666666665</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75" thickBot="1" x14ac:dyDescent="0.3">
      <c r="A114" s="385" t="s">
        <v>874</v>
      </c>
      <c r="B114" s="386" t="s">
        <v>1181</v>
      </c>
      <c r="C114" s="905"/>
      <c r="D114" s="906">
        <f>(D113/C100)*100</f>
        <v>-83.09331108028438</v>
      </c>
      <c r="E114" s="74"/>
      <c r="F114" s="74"/>
      <c r="G114" s="385" t="s">
        <v>874</v>
      </c>
      <c r="H114" s="907" t="s">
        <v>1181</v>
      </c>
      <c r="I114" s="908"/>
      <c r="J114" s="909">
        <f>(J113/I100)*100</f>
        <v>-75.54872550719611</v>
      </c>
      <c r="K114" s="908"/>
      <c r="L114" s="909">
        <f>(L113/K100)*100</f>
        <v>-84.654066238945731</v>
      </c>
      <c r="M114" s="894"/>
      <c r="N114" s="906">
        <f>(N113/M100)*100</f>
        <v>-84.706086353389978</v>
      </c>
      <c r="O114" s="894"/>
      <c r="P114" s="906">
        <f>(P113/O100)*100</f>
        <v>-82.625281775619911</v>
      </c>
      <c r="Q114" s="894"/>
      <c r="R114" s="906">
        <f>(R113/Q100)*100</f>
        <v>-71.284896826773007</v>
      </c>
      <c r="S114" s="894"/>
      <c r="T114" s="906">
        <f>(T113/S100)*100</f>
        <v>-87.723252991156571</v>
      </c>
      <c r="U114" s="894"/>
      <c r="V114" s="906">
        <f>(V113/U100)*100</f>
        <v>-87.255071961158308</v>
      </c>
      <c r="W114" s="894"/>
      <c r="X114" s="906">
        <f>(X113/W100)*100</f>
        <v>-82.963412519507543</v>
      </c>
      <c r="Y114" s="894"/>
      <c r="Z114" s="906">
        <f>(Z113/Y100)*100</f>
        <v>-85.252297555054625</v>
      </c>
      <c r="AA114" s="894"/>
      <c r="AB114" s="906">
        <f>(AB113/AA100)*100</f>
        <v>-82.13109068839951</v>
      </c>
      <c r="AC114" s="894"/>
      <c r="AD114" s="906">
        <f>(AD113/AC100)*100</f>
        <v>-91.026530258366563</v>
      </c>
      <c r="AE114" s="894"/>
      <c r="AF114" s="906">
        <f>(AF113/AE100)*100</f>
        <v>-81.949020287844633</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75" thickBot="1" x14ac:dyDescent="0.3">
      <c r="A115" s="910" t="s">
        <v>1230</v>
      </c>
      <c r="B115" s="911" t="s">
        <v>1190</v>
      </c>
      <c r="C115" s="465">
        <f>C100/('Ввод исходных данных'!$G$45++'Ввод исходных данных'!D23)</f>
        <v>17.882170542635659</v>
      </c>
      <c r="D115" s="465">
        <f>D100/('Ввод исходных данных'!$G$45+'Ввод исходных данных'!D23)</f>
        <v>3.0232829457364341</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25">
      <c r="A134" s="480" t="s">
        <v>514</v>
      </c>
      <c r="B134" s="483">
        <f>'Ввод исходных данных'!G51</f>
        <v>1712</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1.0622198092130406</v>
      </c>
      <c r="D134" s="481">
        <v>1</v>
      </c>
      <c r="E134" s="483">
        <f>IF(C134=0,0,B134/C134*D134)</f>
        <v>1611.7191424516527</v>
      </c>
      <c r="F134" s="484">
        <f>E134*(20-$D$145)</f>
        <v>91867.991119744198</v>
      </c>
      <c r="G134" s="483">
        <f t="shared" ref="G134:R134" si="198">$E$134*0.024*G$147</f>
        <v>42328.902182036247</v>
      </c>
      <c r="H134" s="483">
        <f t="shared" si="198"/>
        <v>36499.636387617116</v>
      </c>
      <c r="I134" s="483">
        <f t="shared" si="198"/>
        <v>31656.74270837838</v>
      </c>
      <c r="J134" s="483">
        <f t="shared" si="198"/>
        <v>18334.916964530003</v>
      </c>
      <c r="K134" s="483">
        <f t="shared" si="198"/>
        <v>1201.0531049549716</v>
      </c>
      <c r="L134" s="483">
        <f t="shared" si="198"/>
        <v>0</v>
      </c>
      <c r="M134" s="483">
        <f t="shared" si="198"/>
        <v>0</v>
      </c>
      <c r="N134" s="483">
        <f t="shared" si="198"/>
        <v>0</v>
      </c>
      <c r="O134" s="483">
        <f t="shared" si="198"/>
        <v>1357.7122056012722</v>
      </c>
      <c r="P134" s="483">
        <f t="shared" si="198"/>
        <v>18586.345150752459</v>
      </c>
      <c r="Q134" s="483">
        <f t="shared" si="198"/>
        <v>29475.119677155824</v>
      </c>
      <c r="R134" s="483">
        <f t="shared" si="198"/>
        <v>38971.368864480966</v>
      </c>
      <c r="S134" s="74"/>
      <c r="T134" s="74"/>
      <c r="U134" s="74"/>
      <c r="V134" s="74"/>
      <c r="W134" s="74"/>
      <c r="X134" s="74"/>
      <c r="Y134" s="74"/>
      <c r="Z134" s="74"/>
      <c r="AA134" s="74"/>
      <c r="AB134" s="74"/>
      <c r="AC134" s="74"/>
      <c r="AD134" s="74"/>
      <c r="AE134" s="74"/>
      <c r="AF134" s="74"/>
      <c r="AG134" s="74"/>
      <c r="AH134" s="74"/>
    </row>
    <row r="135" spans="1:67" x14ac:dyDescent="0.25">
      <c r="A135" s="480" t="s">
        <v>611</v>
      </c>
      <c r="B135" s="483">
        <f>'Ввод исходных данных'!G53</f>
        <v>280</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0.76000000000000012</v>
      </c>
      <c r="D135" s="481">
        <v>1</v>
      </c>
      <c r="E135" s="483">
        <f t="shared" ref="E135:E138" si="199">IF(C135=0,0,B135/C135*D135)</f>
        <v>368.4210526315789</v>
      </c>
      <c r="F135" s="484">
        <f t="shared" ref="F135:F143" si="200">E135*(20-$D$145)</f>
        <v>20999.999999999996</v>
      </c>
      <c r="G135" s="483">
        <f t="shared" ref="G135:R135" si="201">$E$135*0.024*G$147</f>
        <v>9675.9157894736836</v>
      </c>
      <c r="H135" s="483">
        <f t="shared" si="201"/>
        <v>8343.410526315789</v>
      </c>
      <c r="I135" s="483">
        <f t="shared" si="201"/>
        <v>7236.3789473684201</v>
      </c>
      <c r="J135" s="483">
        <f t="shared" si="201"/>
        <v>4191.1578947368416</v>
      </c>
      <c r="K135" s="483">
        <f t="shared" si="201"/>
        <v>274.54736842105262</v>
      </c>
      <c r="L135" s="483">
        <f t="shared" si="201"/>
        <v>0</v>
      </c>
      <c r="M135" s="483">
        <f t="shared" si="201"/>
        <v>0</v>
      </c>
      <c r="N135" s="483">
        <f t="shared" si="201"/>
        <v>0</v>
      </c>
      <c r="O135" s="483">
        <f t="shared" si="201"/>
        <v>310.35789473684207</v>
      </c>
      <c r="P135" s="483">
        <f t="shared" si="201"/>
        <v>4248.6315789473683</v>
      </c>
      <c r="Q135" s="483">
        <f t="shared" si="201"/>
        <v>6737.6842105263149</v>
      </c>
      <c r="R135" s="483">
        <f t="shared" si="201"/>
        <v>8908.4210526315783</v>
      </c>
      <c r="S135" s="74"/>
      <c r="T135" s="74"/>
      <c r="U135" s="74"/>
      <c r="V135" s="74"/>
      <c r="W135" s="74"/>
      <c r="X135" s="74"/>
      <c r="Y135" s="74"/>
      <c r="Z135" s="74"/>
      <c r="AA135" s="74"/>
      <c r="AB135" s="74"/>
      <c r="AC135" s="74"/>
      <c r="AD135" s="74"/>
      <c r="AE135" s="74"/>
      <c r="AF135" s="74"/>
      <c r="AG135" s="74"/>
      <c r="AH135" s="74"/>
    </row>
    <row r="136" spans="1:67" x14ac:dyDescent="0.25">
      <c r="A136" s="480" t="s">
        <v>612</v>
      </c>
      <c r="B136" s="483">
        <f>'Ввод исходных данных'!G56</f>
        <v>16</v>
      </c>
      <c r="C136" s="912">
        <f>IF('Ввод исходных данных'!D72=0,0.4*(1-'Ввод исходных данных'!$D$34/'Ввод исходных данных'!G55)+0.55*('Ввод исходных данных'!$D$34/'Ввод исходных данных'!G55),'Ввод исходных данных'!D72)</f>
        <v>0.55000000000000004</v>
      </c>
      <c r="D136" s="481">
        <v>1</v>
      </c>
      <c r="E136" s="483">
        <f t="shared" si="199"/>
        <v>29.09090909090909</v>
      </c>
      <c r="F136" s="484">
        <f t="shared" si="200"/>
        <v>1658.181818181818</v>
      </c>
      <c r="G136" s="483">
        <f t="shared" ref="G136:R136" si="202">$E$136*0.024*G$147</f>
        <v>764.02036363636353</v>
      </c>
      <c r="H136" s="483">
        <f t="shared" si="202"/>
        <v>658.80436363636363</v>
      </c>
      <c r="I136" s="483">
        <f t="shared" si="202"/>
        <v>571.39199999999994</v>
      </c>
      <c r="J136" s="483">
        <f t="shared" si="202"/>
        <v>330.93818181818182</v>
      </c>
      <c r="K136" s="483">
        <f t="shared" si="202"/>
        <v>21.678545454545453</v>
      </c>
      <c r="L136" s="483">
        <f t="shared" si="202"/>
        <v>0</v>
      </c>
      <c r="M136" s="483">
        <f t="shared" si="202"/>
        <v>0</v>
      </c>
      <c r="N136" s="483">
        <f t="shared" si="202"/>
        <v>0</v>
      </c>
      <c r="O136" s="483">
        <f t="shared" si="202"/>
        <v>24.506181818181819</v>
      </c>
      <c r="P136" s="483">
        <f t="shared" si="202"/>
        <v>335.4763636363636</v>
      </c>
      <c r="Q136" s="483">
        <f t="shared" si="202"/>
        <v>532.01454545454544</v>
      </c>
      <c r="R136" s="483">
        <f t="shared" si="202"/>
        <v>703.41818181818178</v>
      </c>
      <c r="S136" s="74"/>
      <c r="T136" s="74"/>
      <c r="U136" s="74"/>
      <c r="V136" s="74"/>
      <c r="W136" s="74"/>
      <c r="X136" s="74"/>
      <c r="Y136" s="74"/>
      <c r="Z136" s="74"/>
      <c r="AA136" s="74"/>
      <c r="AB136" s="74"/>
      <c r="AC136" s="74"/>
      <c r="AD136" s="74"/>
      <c r="AE136" s="74"/>
      <c r="AF136" s="74"/>
      <c r="AG136" s="74"/>
      <c r="AH136" s="74"/>
    </row>
    <row r="137" spans="1:67" x14ac:dyDescent="0.25">
      <c r="A137" s="480" t="s">
        <v>1588</v>
      </c>
      <c r="B137" s="483">
        <f>'Ввод исходных данных'!G59</f>
        <v>0</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0</v>
      </c>
      <c r="F137" s="484">
        <f t="shared" si="200"/>
        <v>0</v>
      </c>
      <c r="G137" s="483">
        <f>$E$137*0.024*G$147</f>
        <v>0</v>
      </c>
      <c r="H137" s="483">
        <f t="shared" ref="H137:R137" si="204">$E$137*0.024*H$147</f>
        <v>0</v>
      </c>
      <c r="I137" s="483">
        <f t="shared" si="204"/>
        <v>0</v>
      </c>
      <c r="J137" s="483">
        <f t="shared" si="204"/>
        <v>0</v>
      </c>
      <c r="K137" s="483">
        <f t="shared" si="204"/>
        <v>0</v>
      </c>
      <c r="L137" s="483">
        <f t="shared" si="204"/>
        <v>0</v>
      </c>
      <c r="M137" s="483">
        <f t="shared" si="204"/>
        <v>0</v>
      </c>
      <c r="N137" s="483">
        <f t="shared" si="204"/>
        <v>0</v>
      </c>
      <c r="O137" s="483">
        <f t="shared" si="204"/>
        <v>0</v>
      </c>
      <c r="P137" s="483">
        <f t="shared" si="204"/>
        <v>0</v>
      </c>
      <c r="Q137" s="483">
        <f t="shared" si="204"/>
        <v>0</v>
      </c>
      <c r="R137" s="483">
        <f t="shared" si="204"/>
        <v>0</v>
      </c>
      <c r="S137" s="74"/>
      <c r="T137" s="74"/>
      <c r="U137" s="74"/>
      <c r="V137" s="74"/>
      <c r="W137" s="74"/>
      <c r="X137" s="74"/>
      <c r="Y137" s="74"/>
      <c r="Z137" s="74"/>
      <c r="AA137" s="74"/>
      <c r="AB137" s="74"/>
      <c r="AC137" s="74"/>
      <c r="AD137" s="74"/>
      <c r="AE137" s="74"/>
      <c r="AF137" s="74"/>
      <c r="AG137" s="74"/>
      <c r="AH137" s="74"/>
    </row>
    <row r="138" spans="1:67" x14ac:dyDescent="0.25">
      <c r="A138" s="480" t="s">
        <v>1329</v>
      </c>
      <c r="B138" s="483">
        <f>'Ввод исходных данных'!G60</f>
        <v>720</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2.3200000000000003</v>
      </c>
      <c r="D138" s="481">
        <v>1</v>
      </c>
      <c r="E138" s="483">
        <f t="shared" si="199"/>
        <v>310.34482758620686</v>
      </c>
      <c r="F138" s="484">
        <f t="shared" si="200"/>
        <v>17689.65517241379</v>
      </c>
      <c r="G138" s="483">
        <f t="shared" ref="G138:R138" si="205">$E$138*0.024*G$147</f>
        <v>8150.6482758620677</v>
      </c>
      <c r="H138" s="483">
        <f t="shared" si="205"/>
        <v>7028.1931034482759</v>
      </c>
      <c r="I138" s="483">
        <f t="shared" si="205"/>
        <v>6095.6689655172404</v>
      </c>
      <c r="J138" s="483">
        <f t="shared" si="205"/>
        <v>3530.4827586206893</v>
      </c>
      <c r="K138" s="483">
        <f t="shared" si="205"/>
        <v>231.26896551724136</v>
      </c>
      <c r="L138" s="483">
        <f t="shared" si="205"/>
        <v>0</v>
      </c>
      <c r="M138" s="483">
        <f t="shared" si="205"/>
        <v>0</v>
      </c>
      <c r="N138" s="483">
        <f t="shared" si="205"/>
        <v>0</v>
      </c>
      <c r="O138" s="483">
        <f t="shared" si="205"/>
        <v>261.43448275862067</v>
      </c>
      <c r="P138" s="483">
        <f t="shared" si="205"/>
        <v>3578.8965517241372</v>
      </c>
      <c r="Q138" s="483">
        <f t="shared" si="205"/>
        <v>5675.5862068965507</v>
      </c>
      <c r="R138" s="483">
        <f t="shared" si="205"/>
        <v>7504.1379310344819</v>
      </c>
      <c r="S138" s="74"/>
      <c r="T138" s="74"/>
      <c r="U138" s="74"/>
      <c r="V138" s="74"/>
      <c r="W138" s="74"/>
      <c r="X138" s="74"/>
      <c r="Y138" s="74"/>
      <c r="Z138" s="74"/>
      <c r="AA138" s="74"/>
      <c r="AB138" s="74"/>
      <c r="AC138" s="74"/>
      <c r="AD138" s="74"/>
      <c r="AE138" s="74"/>
      <c r="AF138" s="74"/>
      <c r="AG138" s="74"/>
      <c r="AH138" s="74"/>
    </row>
    <row r="139" spans="1:67" x14ac:dyDescent="0.25">
      <c r="A139" s="480" t="s">
        <v>1330</v>
      </c>
      <c r="B139" s="483">
        <f>'Ввод исходных данных'!G62</f>
        <v>0</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2.053639846743295</v>
      </c>
      <c r="D139" s="914">
        <f>(20-'Расчет базового уровня'!$D$159)/(20-'Расчет базового уровня'!$D$145)</f>
        <v>0.10526315789473684</v>
      </c>
      <c r="E139" s="483">
        <f>IF(C139=0,0,B139/C139*D139)</f>
        <v>0</v>
      </c>
      <c r="F139" s="484">
        <f t="shared" si="200"/>
        <v>0</v>
      </c>
      <c r="G139" s="483">
        <f t="shared" ref="G139:R140" si="206">$E$139*0.024*G$147</f>
        <v>0</v>
      </c>
      <c r="H139" s="483">
        <f t="shared" si="206"/>
        <v>0</v>
      </c>
      <c r="I139" s="483">
        <f t="shared" si="206"/>
        <v>0</v>
      </c>
      <c r="J139" s="483">
        <f t="shared" si="206"/>
        <v>0</v>
      </c>
      <c r="K139" s="483">
        <f t="shared" si="206"/>
        <v>0</v>
      </c>
      <c r="L139" s="483">
        <f t="shared" si="206"/>
        <v>0</v>
      </c>
      <c r="M139" s="483">
        <f t="shared" si="206"/>
        <v>0</v>
      </c>
      <c r="N139" s="483">
        <f t="shared" si="206"/>
        <v>0</v>
      </c>
      <c r="O139" s="483">
        <f t="shared" si="206"/>
        <v>0</v>
      </c>
      <c r="P139" s="483">
        <f t="shared" si="206"/>
        <v>0</v>
      </c>
      <c r="Q139" s="483">
        <f t="shared" si="206"/>
        <v>0</v>
      </c>
      <c r="R139" s="483">
        <f t="shared" si="206"/>
        <v>0</v>
      </c>
      <c r="S139" s="74"/>
      <c r="T139" s="74"/>
      <c r="U139" s="74"/>
      <c r="V139" s="74"/>
      <c r="W139" s="74"/>
      <c r="X139" s="74"/>
      <c r="Y139" s="74"/>
      <c r="Z139" s="74"/>
      <c r="AA139" s="74"/>
      <c r="AB139" s="74"/>
      <c r="AC139" s="74"/>
      <c r="AD139" s="74"/>
      <c r="AE139" s="74"/>
      <c r="AF139" s="74"/>
      <c r="AG139" s="74"/>
      <c r="AH139" s="74"/>
    </row>
    <row r="140" spans="1:67" x14ac:dyDescent="0.25">
      <c r="A140" s="480" t="s">
        <v>1331</v>
      </c>
      <c r="B140" s="483">
        <f>'Ввод исходных данных'!G61</f>
        <v>0</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2.053639846743295</v>
      </c>
      <c r="D140" s="481">
        <v>0.9</v>
      </c>
      <c r="E140" s="483">
        <f>IF(C140=0,0,B140/C140*D140)</f>
        <v>0</v>
      </c>
      <c r="F140" s="484">
        <f t="shared" si="200"/>
        <v>0</v>
      </c>
      <c r="G140" s="483">
        <f t="shared" si="206"/>
        <v>0</v>
      </c>
      <c r="H140" s="483">
        <f t="shared" si="206"/>
        <v>0</v>
      </c>
      <c r="I140" s="483">
        <f t="shared" si="206"/>
        <v>0</v>
      </c>
      <c r="J140" s="483">
        <f t="shared" si="206"/>
        <v>0</v>
      </c>
      <c r="K140" s="483">
        <f t="shared" si="206"/>
        <v>0</v>
      </c>
      <c r="L140" s="483">
        <f t="shared" si="206"/>
        <v>0</v>
      </c>
      <c r="M140" s="483">
        <f t="shared" si="206"/>
        <v>0</v>
      </c>
      <c r="N140" s="483">
        <f t="shared" si="206"/>
        <v>0</v>
      </c>
      <c r="O140" s="483">
        <f t="shared" si="206"/>
        <v>0</v>
      </c>
      <c r="P140" s="483">
        <f t="shared" si="206"/>
        <v>0</v>
      </c>
      <c r="Q140" s="483">
        <f t="shared" si="206"/>
        <v>0</v>
      </c>
      <c r="R140" s="483">
        <f t="shared" si="206"/>
        <v>0</v>
      </c>
      <c r="S140" s="74"/>
      <c r="T140" s="74"/>
      <c r="U140" s="74"/>
      <c r="V140" s="74"/>
      <c r="W140" s="74"/>
      <c r="X140" s="74"/>
      <c r="Y140" s="74"/>
      <c r="Z140" s="74"/>
      <c r="AA140" s="74"/>
      <c r="AB140" s="74"/>
      <c r="AC140" s="74"/>
      <c r="AD140" s="74"/>
      <c r="AE140" s="74"/>
      <c r="AF140" s="74"/>
      <c r="AG140" s="74"/>
      <c r="AH140" s="74"/>
    </row>
    <row r="141" spans="1:67" x14ac:dyDescent="0.25">
      <c r="A141" s="480" t="s">
        <v>1332</v>
      </c>
      <c r="B141" s="483">
        <f>'Ввод исходных данных'!G64</f>
        <v>0</v>
      </c>
      <c r="C141" s="482">
        <f>IF('Ввод исходных данных'!D75=0,'Серии теплотехника'!B51+IF(списки!D37=1,1,0),'Ввод исходных данных'!D75)</f>
        <v>2.053639846743295</v>
      </c>
      <c r="D141" s="481">
        <v>1</v>
      </c>
      <c r="E141" s="483">
        <f>IF(C141=0,0,B141/C141*D141)</f>
        <v>0</v>
      </c>
      <c r="F141" s="484">
        <f t="shared" si="200"/>
        <v>0</v>
      </c>
      <c r="G141" s="483">
        <f t="shared" ref="G141:R141" si="207">$E$141*0.024*G$147</f>
        <v>0</v>
      </c>
      <c r="H141" s="483">
        <f t="shared" si="207"/>
        <v>0</v>
      </c>
      <c r="I141" s="483">
        <f t="shared" si="207"/>
        <v>0</v>
      </c>
      <c r="J141" s="483">
        <f t="shared" si="207"/>
        <v>0</v>
      </c>
      <c r="K141" s="483">
        <f t="shared" si="207"/>
        <v>0</v>
      </c>
      <c r="L141" s="483">
        <f t="shared" si="207"/>
        <v>0</v>
      </c>
      <c r="M141" s="483">
        <f t="shared" si="207"/>
        <v>0</v>
      </c>
      <c r="N141" s="483">
        <f t="shared" si="207"/>
        <v>0</v>
      </c>
      <c r="O141" s="483">
        <f t="shared" si="207"/>
        <v>0</v>
      </c>
      <c r="P141" s="483">
        <f t="shared" si="207"/>
        <v>0</v>
      </c>
      <c r="Q141" s="483">
        <f t="shared" si="207"/>
        <v>0</v>
      </c>
      <c r="R141" s="483">
        <f t="shared" si="207"/>
        <v>0</v>
      </c>
      <c r="S141" s="74"/>
      <c r="T141" s="74"/>
      <c r="U141" s="74"/>
      <c r="V141" s="74"/>
      <c r="W141" s="74"/>
      <c r="X141" s="74"/>
      <c r="Y141" s="74"/>
      <c r="Z141" s="74"/>
      <c r="AA141" s="74"/>
      <c r="AB141" s="74"/>
      <c r="AC141" s="74"/>
      <c r="AD141" s="74"/>
      <c r="AE141" s="74"/>
      <c r="AF141" s="74"/>
      <c r="AG141" s="74"/>
      <c r="AH141" s="74"/>
    </row>
    <row r="142" spans="1:67" x14ac:dyDescent="0.25">
      <c r="A142" s="480" t="s">
        <v>1328</v>
      </c>
      <c r="B142" s="483">
        <f>'Ввод исходных данных'!G63</f>
        <v>720</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1.632183908045977</v>
      </c>
      <c r="D142" s="486">
        <f>('Ввод исходных данных'!D83-'Расчет базового уровня'!$D$160)/('Ввод исходных данных'!D83-'Расчет базового уровня'!$D$145)</f>
        <v>0.2</v>
      </c>
      <c r="E142" s="483">
        <f>IF(C142=0,0,B142/C142*D142)</f>
        <v>88.225352112676063</v>
      </c>
      <c r="F142" s="484">
        <f t="shared" si="200"/>
        <v>5028.8450704225352</v>
      </c>
      <c r="G142" s="483">
        <f>$E$142*0.024*G$147</f>
        <v>2317.0800676056342</v>
      </c>
      <c r="H142" s="483">
        <f>$E$142*0.024*H$147</f>
        <v>1997.9866140845077</v>
      </c>
      <c r="I142" s="483">
        <f t="shared" ref="I142:R142" si="208">$E$142*0.024*I$147</f>
        <v>1732.8870760563382</v>
      </c>
      <c r="J142" s="483">
        <f t="shared" si="208"/>
        <v>1003.651605633803</v>
      </c>
      <c r="K142" s="483">
        <f t="shared" si="208"/>
        <v>65.745532394366208</v>
      </c>
      <c r="L142" s="483">
        <f t="shared" si="208"/>
        <v>0</v>
      </c>
      <c r="M142" s="483">
        <f t="shared" si="208"/>
        <v>0</v>
      </c>
      <c r="N142" s="483">
        <f t="shared" si="208"/>
        <v>0</v>
      </c>
      <c r="O142" s="483">
        <f t="shared" si="208"/>
        <v>74.321036619718328</v>
      </c>
      <c r="P142" s="483">
        <f t="shared" si="208"/>
        <v>1017.4147605633805</v>
      </c>
      <c r="Q142" s="483">
        <f t="shared" si="208"/>
        <v>1613.4652394366199</v>
      </c>
      <c r="R142" s="483">
        <f t="shared" si="208"/>
        <v>2133.2890140845075</v>
      </c>
      <c r="S142" s="74"/>
      <c r="T142" s="74"/>
      <c r="U142" s="74"/>
      <c r="V142" s="74"/>
      <c r="W142" s="74"/>
      <c r="X142" s="74"/>
      <c r="Y142" s="74"/>
      <c r="Z142" s="74"/>
      <c r="AA142" s="74"/>
      <c r="AB142" s="74"/>
      <c r="AC142" s="74"/>
      <c r="AD142" s="74"/>
      <c r="AE142" s="74"/>
      <c r="AF142" s="74"/>
      <c r="AG142" s="74"/>
      <c r="AH142" s="74"/>
    </row>
    <row r="143" spans="1:67" x14ac:dyDescent="0.25">
      <c r="A143" s="480" t="s">
        <v>1231</v>
      </c>
      <c r="B143" s="483">
        <f>'Ввод исходных данных'!G66</f>
        <v>8</v>
      </c>
      <c r="C143" s="916">
        <f>IF('Ввод исходных данных'!D76=0,IF(списки!D35=0,0.5,0.95),'Ввод исходных данных'!D76)</f>
        <v>0.95</v>
      </c>
      <c r="D143" s="486">
        <v>1</v>
      </c>
      <c r="E143" s="483">
        <f>IF(C143=0,0,B143/C143*D143)</f>
        <v>8.4210526315789469</v>
      </c>
      <c r="F143" s="484">
        <f t="shared" si="200"/>
        <v>480</v>
      </c>
      <c r="G143" s="483">
        <f>$E$143*0.024*G$147</f>
        <v>221.1637894736842</v>
      </c>
      <c r="H143" s="483">
        <f t="shared" ref="H143:R143" si="209">$E$143*0.024*H$147</f>
        <v>190.70652631578949</v>
      </c>
      <c r="I143" s="483">
        <f t="shared" si="209"/>
        <v>165.40294736842105</v>
      </c>
      <c r="J143" s="483">
        <f t="shared" si="209"/>
        <v>95.797894736842096</v>
      </c>
      <c r="K143" s="483">
        <f t="shared" si="209"/>
        <v>6.2753684210526313</v>
      </c>
      <c r="L143" s="483">
        <f t="shared" si="209"/>
        <v>0</v>
      </c>
      <c r="M143" s="483">
        <f t="shared" si="209"/>
        <v>0</v>
      </c>
      <c r="N143" s="483">
        <f t="shared" si="209"/>
        <v>0</v>
      </c>
      <c r="O143" s="483">
        <f t="shared" si="209"/>
        <v>7.0938947368421053</v>
      </c>
      <c r="P143" s="483">
        <f t="shared" si="209"/>
        <v>97.111578947368415</v>
      </c>
      <c r="Q143" s="483">
        <f t="shared" si="209"/>
        <v>154.00421052631577</v>
      </c>
      <c r="R143" s="483">
        <f t="shared" si="209"/>
        <v>203.62105263157895</v>
      </c>
      <c r="S143" s="74"/>
      <c r="T143" s="74"/>
      <c r="U143" s="74"/>
      <c r="V143" s="74"/>
      <c r="W143" s="74"/>
      <c r="X143" s="74"/>
      <c r="Y143" s="74"/>
      <c r="Z143" s="74"/>
      <c r="AA143" s="74"/>
      <c r="AB143" s="74"/>
      <c r="AC143" s="74"/>
      <c r="AD143" s="74"/>
      <c r="AE143" s="74"/>
      <c r="AF143" s="74"/>
      <c r="AG143" s="74"/>
      <c r="AH143" s="74"/>
    </row>
    <row r="144" spans="1:67" x14ac:dyDescent="0.25">
      <c r="A144" s="480" t="s">
        <v>515</v>
      </c>
      <c r="B144" s="483">
        <f>SUM(B134:B141)</f>
        <v>2728</v>
      </c>
      <c r="C144" s="916"/>
      <c r="D144" s="481"/>
      <c r="E144" s="483">
        <f>SUM(E134:E143)</f>
        <v>2416.222336504602</v>
      </c>
      <c r="F144" s="484">
        <f>E144*(20-$D$145)/1000</f>
        <v>137.72467318076232</v>
      </c>
      <c r="G144" s="483">
        <f>SUM(G134:G143)</f>
        <v>63457.730468087684</v>
      </c>
      <c r="H144" s="483">
        <f t="shared" ref="H144:R144" si="210">SUM(H134:H143)</f>
        <v>54718.737521417846</v>
      </c>
      <c r="I144" s="483">
        <f t="shared" si="210"/>
        <v>47458.472644688794</v>
      </c>
      <c r="J144" s="483">
        <f t="shared" si="210"/>
        <v>27486.945300076364</v>
      </c>
      <c r="K144" s="483">
        <f t="shared" si="210"/>
        <v>1800.5688851632299</v>
      </c>
      <c r="L144" s="483">
        <f t="shared" si="210"/>
        <v>0</v>
      </c>
      <c r="M144" s="483">
        <f t="shared" si="210"/>
        <v>0</v>
      </c>
      <c r="N144" s="483">
        <f t="shared" si="210"/>
        <v>0</v>
      </c>
      <c r="O144" s="483">
        <f t="shared" si="210"/>
        <v>2035.4256962714771</v>
      </c>
      <c r="P144" s="483">
        <f t="shared" si="210"/>
        <v>27863.875984571077</v>
      </c>
      <c r="Q144" s="483">
        <f t="shared" si="210"/>
        <v>44187.874089996163</v>
      </c>
      <c r="R144" s="483">
        <f t="shared" si="210"/>
        <v>58424.256096681289</v>
      </c>
      <c r="S144" s="74"/>
      <c r="T144" s="74"/>
      <c r="U144" s="74"/>
      <c r="V144" s="74"/>
      <c r="W144" s="74"/>
      <c r="X144" s="74"/>
      <c r="Y144" s="74"/>
      <c r="Z144" s="74"/>
      <c r="AA144" s="74"/>
      <c r="AB144" s="74"/>
      <c r="AC144" s="74"/>
      <c r="AD144" s="74"/>
      <c r="AE144" s="74"/>
      <c r="AF144" s="74"/>
      <c r="AG144" s="74"/>
      <c r="AH144" s="74"/>
    </row>
    <row r="145" spans="1:34" x14ac:dyDescent="0.25">
      <c r="A145" s="74"/>
      <c r="B145" s="488" t="s">
        <v>742</v>
      </c>
      <c r="C145" s="489" t="s">
        <v>747</v>
      </c>
      <c r="D145" s="481">
        <f>VLOOKUP(CONCATENATE('Ввод исходных данных'!$D$10,'Ввод исходных данных'!$D$11),Климатология!$D$9:$BF$548,4,0)</f>
        <v>-37</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25">
      <c r="A146" s="74"/>
      <c r="B146" s="488" t="s">
        <v>529</v>
      </c>
      <c r="C146" s="489" t="s">
        <v>748</v>
      </c>
      <c r="D146" s="481">
        <f>VLOOKUP(CONCATENATE('Ввод исходных данных'!$D$10,'Ввод исходных данных'!$D$11),Климатология!$D$9:$BF$548,2,0)</f>
        <v>221</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30</v>
      </c>
      <c r="K146" s="490">
        <f>VLOOKUP(CONCATENATE('Ввод исходных данных'!$D$10,'Ввод исходных данных'!$D$11),Климатология!$D$9:$BF$548,K130+2,0)</f>
        <v>4.5</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4.5</v>
      </c>
      <c r="P146" s="490">
        <f>VLOOKUP(CONCATENATE('Ввод исходных данных'!$D$10,'Ввод исходных данных'!$D$11),Климатология!$D$9:$BF$548,P130+2,0)</f>
        <v>31</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25">
      <c r="A147" s="74"/>
      <c r="B147" s="488" t="s">
        <v>462</v>
      </c>
      <c r="C147" s="489" t="s">
        <v>749</v>
      </c>
      <c r="D147" s="481">
        <f>VLOOKUP(CONCATENATE('Ввод исходных данных'!$D$10,'Ввод исходных данных'!$D$11),Климатология!$D$9:$BF$548,6,0)</f>
        <v>5768.1</v>
      </c>
      <c r="E147" s="74"/>
      <c r="F147" s="317"/>
      <c r="G147" s="490">
        <f>VLOOKUP(CONCATENATE('Ввод исходных данных'!$D$10,'Ввод исходных данных'!$D$11),Климатология!$D$9:$BF$548,G130+3,0)</f>
        <v>1094.3</v>
      </c>
      <c r="H147" s="490">
        <f>VLOOKUP(CONCATENATE('Ввод исходных данных'!$D$10,'Ввод исходных данных'!$D$11),Климатология!$D$9:$BF$548,H130+3,0)</f>
        <v>943.60000000000014</v>
      </c>
      <c r="I147" s="490">
        <f>VLOOKUP(CONCATENATE('Ввод исходных данных'!$D$10,'Ввод исходных данных'!$D$11),Климатология!$D$9:$BF$548,I130+3,0)</f>
        <v>818.4</v>
      </c>
      <c r="J147" s="490">
        <f>VLOOKUP(CONCATENATE('Ввод исходных данных'!$D$10,'Ввод исходных данных'!$D$11),Климатология!$D$9:$BF$548,J130+3,0)</f>
        <v>474</v>
      </c>
      <c r="K147" s="490">
        <f>VLOOKUP(CONCATENATE('Ввод исходных данных'!$D$10,'Ввод исходных данных'!$D$11),Климатология!$D$9:$BF$548,K130+3,0)</f>
        <v>31.05</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35.1</v>
      </c>
      <c r="P147" s="490">
        <f>VLOOKUP(CONCATENATE('Ввод исходных данных'!$D$10,'Ввод исходных данных'!$D$11),Климатология!$D$9:$BF$548,P130+3,0)</f>
        <v>480.5</v>
      </c>
      <c r="Q147" s="490">
        <f>VLOOKUP(CONCATENATE('Ввод исходных данных'!$D$10,'Ввод исходных данных'!$D$11),Климатология!$D$9:$BF$548,Q130+3,0)</f>
        <v>762</v>
      </c>
      <c r="R147" s="490">
        <f>VLOOKUP(CONCATENATE('Ввод исходных данных'!$D$10,'Ввод исходных данных'!$D$11),Климатология!$D$9:$BF$548,R130+3,0)</f>
        <v>1007.5</v>
      </c>
      <c r="S147" s="74"/>
      <c r="T147" s="74"/>
      <c r="U147" s="74"/>
      <c r="V147" s="74"/>
      <c r="W147" s="74"/>
      <c r="X147" s="74"/>
      <c r="Y147" s="74"/>
      <c r="Z147" s="74"/>
      <c r="AA147" s="74"/>
      <c r="AB147" s="74"/>
      <c r="AC147" s="74"/>
      <c r="AD147" s="74"/>
      <c r="AE147" s="74"/>
      <c r="AF147" s="74"/>
      <c r="AG147" s="74"/>
      <c r="AH147" s="74"/>
    </row>
    <row r="148" spans="1:34" x14ac:dyDescent="0.25">
      <c r="A148" s="491" t="s">
        <v>497</v>
      </c>
      <c r="B148" s="492" t="s">
        <v>531</v>
      </c>
      <c r="C148" s="493" t="s">
        <v>498</v>
      </c>
      <c r="D148" s="494">
        <f>IF(D149&gt;45,10,IF(D149&lt;=20,17,17-(D149-20)*7/25))</f>
        <v>16.579999999999998</v>
      </c>
      <c r="E148" s="74"/>
      <c r="F148" s="495">
        <f>17*D150/1000</f>
        <v>30.6</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25">
      <c r="A149" s="491" t="s">
        <v>499</v>
      </c>
      <c r="B149" s="492" t="s">
        <v>500</v>
      </c>
      <c r="C149" s="493" t="s">
        <v>501</v>
      </c>
      <c r="D149" s="496">
        <f>'Ввод исходных данных'!$G$45/'Ввод исходных данных'!$D$22</f>
        <v>21.5</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25">
      <c r="A150" s="476" t="s">
        <v>1403</v>
      </c>
      <c r="B150" s="492" t="s">
        <v>1404</v>
      </c>
      <c r="C150" s="497" t="s">
        <v>492</v>
      </c>
      <c r="D150" s="496">
        <f>'Ввод исходных данных'!G46</f>
        <v>1800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25">
      <c r="A151" s="498" t="s">
        <v>512</v>
      </c>
      <c r="B151" s="499" t="s">
        <v>522</v>
      </c>
      <c r="C151" s="497" t="s">
        <v>526</v>
      </c>
      <c r="D151" s="500">
        <v>30</v>
      </c>
      <c r="E151" s="74"/>
      <c r="F151" s="495">
        <f>(D151*D152*'Ввод исходных данных'!$D$22*0.28+D189*0.28)*1.006*0.001*(20+25)+E161*(20+25)</f>
        <v>56.088743856468462</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25">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25">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25">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25">
      <c r="A158" s="491" t="s">
        <v>527</v>
      </c>
      <c r="B158" s="492" t="s">
        <v>532</v>
      </c>
      <c r="C158" s="489" t="s">
        <v>746</v>
      </c>
      <c r="D158" s="919">
        <f>SUMPRODUCT('Система отопления'!B23:B28,'Система отопления'!C23:C28)</f>
        <v>1.0900000000000001</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25">
      <c r="A159" s="469" t="s">
        <v>743</v>
      </c>
      <c r="B159" s="504" t="s">
        <v>1307</v>
      </c>
      <c r="C159" s="489" t="s">
        <v>747</v>
      </c>
      <c r="D159" s="95">
        <f>'Ввод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25">
      <c r="A160" s="469" t="s">
        <v>744</v>
      </c>
      <c r="B160" s="504" t="s">
        <v>1306</v>
      </c>
      <c r="C160" s="489" t="s">
        <v>747</v>
      </c>
      <c r="D160" s="500">
        <f>'Ввод исходных данных'!$D$85</f>
        <v>7</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25">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25">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25">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25">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25">
      <c r="A167" s="506" t="s">
        <v>905</v>
      </c>
      <c r="B167" s="507" t="s">
        <v>1474</v>
      </c>
      <c r="C167" s="489" t="s">
        <v>906</v>
      </c>
      <c r="D167" s="508">
        <f>D168*365/(D146+D169*(D170-D146))</f>
        <v>97.189349112426029</v>
      </c>
      <c r="E167" s="74"/>
      <c r="F167" s="317">
        <f>SUMPRODUCT(G167:R167,G170:R170)/365</f>
        <v>89.760355029585796</v>
      </c>
      <c r="G167" s="508">
        <f>IF(G146&gt;=0.8*G165,$D$167,$D$169*$D$167)</f>
        <v>97.189349112426029</v>
      </c>
      <c r="H167" s="508">
        <f t="shared" ref="H167:R167" si="211">IF(H146&gt;=0.8*H165,$D$167,$D$169*$D$167)</f>
        <v>97.189349112426029</v>
      </c>
      <c r="I167" s="508">
        <f t="shared" si="211"/>
        <v>97.189349112426029</v>
      </c>
      <c r="J167" s="508">
        <f t="shared" si="211"/>
        <v>97.189349112426029</v>
      </c>
      <c r="K167" s="508">
        <f t="shared" si="211"/>
        <v>87.470414201183431</v>
      </c>
      <c r="L167" s="508">
        <f t="shared" si="211"/>
        <v>87.470414201183431</v>
      </c>
      <c r="M167" s="508">
        <f t="shared" si="211"/>
        <v>87.470414201183431</v>
      </c>
      <c r="N167" s="508">
        <f t="shared" si="211"/>
        <v>87.470414201183431</v>
      </c>
      <c r="O167" s="508">
        <f t="shared" si="211"/>
        <v>87.470414201183431</v>
      </c>
      <c r="P167" s="508">
        <f t="shared" si="211"/>
        <v>97.189349112426029</v>
      </c>
      <c r="Q167" s="508">
        <f t="shared" si="211"/>
        <v>97.189349112426029</v>
      </c>
      <c r="R167" s="508">
        <f t="shared" si="211"/>
        <v>97.189349112426029</v>
      </c>
      <c r="S167" s="74"/>
      <c r="T167" s="74"/>
      <c r="U167" s="74"/>
      <c r="V167" s="74"/>
      <c r="W167" s="74"/>
      <c r="X167" s="74"/>
      <c r="Y167" s="74"/>
      <c r="Z167" s="74"/>
      <c r="AA167" s="74"/>
      <c r="AB167" s="74"/>
      <c r="AC167" s="74"/>
      <c r="AD167" s="74"/>
      <c r="AE167" s="74"/>
    </row>
    <row r="168" spans="1:31" ht="15.75" customHeight="1" x14ac:dyDescent="0.25">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25">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25">
      <c r="A170" s="506"/>
      <c r="B170" s="507" t="s">
        <v>546</v>
      </c>
      <c r="C170" s="489" t="s">
        <v>543</v>
      </c>
      <c r="D170" s="511">
        <f>365-'Ввод исходных данных'!D110</f>
        <v>351</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30</v>
      </c>
      <c r="M170" s="511">
        <f>M165-M166*'Ввод исходных данных'!$D$110</f>
        <v>17</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25">
      <c r="A171" s="506" t="s">
        <v>908</v>
      </c>
      <c r="B171" s="507" t="s">
        <v>547</v>
      </c>
      <c r="C171" s="489" t="s">
        <v>559</v>
      </c>
      <c r="D171" s="512">
        <f>D167*'Ввод исходных данных'!$D$22/24/1000</f>
        <v>0.48594674556213013</v>
      </c>
      <c r="E171" s="74"/>
      <c r="F171" s="74"/>
      <c r="G171" s="512">
        <f>G167*'Ввод исходных данных'!$D$22/24/1000</f>
        <v>0.48594674556213013</v>
      </c>
      <c r="H171" s="512">
        <f>H167*'Ввод исходных данных'!$D$22/24/1000</f>
        <v>0.48594674556213013</v>
      </c>
      <c r="I171" s="512">
        <f>I167*'Ввод исходных данных'!$D$22/24/1000</f>
        <v>0.48594674556213013</v>
      </c>
      <c r="J171" s="512">
        <f>J167*'Ввод исходных данных'!$D$22/24/1000</f>
        <v>0.48594674556213013</v>
      </c>
      <c r="K171" s="512">
        <f>K167*'Ввод исходных данных'!$D$22/24/1000</f>
        <v>0.43735207100591716</v>
      </c>
      <c r="L171" s="512">
        <f>L167*'Ввод исходных данных'!$D$22/24/1000</f>
        <v>0.43735207100591716</v>
      </c>
      <c r="M171" s="512">
        <f>M167*'Ввод исходных данных'!$D$22/24/1000</f>
        <v>0.43735207100591716</v>
      </c>
      <c r="N171" s="512">
        <f>N167*'Ввод исходных данных'!$D$22/24/1000</f>
        <v>0.43735207100591716</v>
      </c>
      <c r="O171" s="512">
        <f>O167*'Ввод исходных данных'!$D$22/24/1000</f>
        <v>0.43735207100591716</v>
      </c>
      <c r="P171" s="512">
        <f>P167*'Ввод исходных данных'!$D$22/24/1000</f>
        <v>0.48594674556213013</v>
      </c>
      <c r="Q171" s="512">
        <f>Q167*'Ввод исходных данных'!$D$22/24/1000</f>
        <v>0.48594674556213013</v>
      </c>
      <c r="R171" s="512">
        <f>R167*'Ввод исходных данных'!$D$22/24/1000</f>
        <v>0.48594674556213013</v>
      </c>
      <c r="S171" s="74"/>
      <c r="T171" s="74"/>
      <c r="U171" s="74"/>
      <c r="V171" s="74"/>
      <c r="W171" s="74"/>
      <c r="X171" s="74"/>
      <c r="Y171" s="74"/>
      <c r="Z171" s="74"/>
      <c r="AA171" s="74"/>
      <c r="AB171" s="74"/>
      <c r="AC171" s="74"/>
      <c r="AD171" s="74"/>
      <c r="AE171" s="74"/>
    </row>
    <row r="172" spans="1:31" ht="15.75" customHeight="1" x14ac:dyDescent="0.25">
      <c r="A172" s="506" t="s">
        <v>909</v>
      </c>
      <c r="B172" s="507" t="s">
        <v>548</v>
      </c>
      <c r="C172" s="489" t="s">
        <v>559</v>
      </c>
      <c r="D172" s="512">
        <f>D171*'Система электроснабжения'!$C$55</f>
        <v>2.4433633321049126</v>
      </c>
      <c r="E172" s="74">
        <f>D172*(60-5)*4.2/3.6*1.1</f>
        <v>172.46072852440508</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25">
      <c r="A173" s="506" t="s">
        <v>910</v>
      </c>
      <c r="B173" s="507" t="s">
        <v>551</v>
      </c>
      <c r="C173" s="489" t="s">
        <v>513</v>
      </c>
      <c r="D173" s="513">
        <f xml:space="preserve"> (D167*(D174-D175)*(1+D176)*1*D177)/(3.6*24*D178)</f>
        <v>16.240407729289942</v>
      </c>
      <c r="E173" s="74">
        <f>E172*0.86/1000</f>
        <v>0.14831622653098836</v>
      </c>
      <c r="F173" s="74"/>
      <c r="G173" s="513">
        <f xml:space="preserve"> (G167*($D$174-IF(G146&gt;=0.8*G165,$D$175,'Ввод исходных данных'!$D$109))*(1+$D$176)*1*$D$177)/(3.6*24*$D$178)</f>
        <v>16.240407729289942</v>
      </c>
      <c r="H173" s="513">
        <f xml:space="preserve"> (H167*($D$174-IF(H146&gt;=0.8*H165,$D$175,'Ввод исходных данных'!$D$109))*(1+$D$176)*1*$D$177)/(3.6*24*$D$178)</f>
        <v>16.240407729289942</v>
      </c>
      <c r="I173" s="513">
        <f xml:space="preserve"> (I167*($D$174-IF(I146&gt;=0.8*I165,$D$175,'Ввод исходных данных'!$D$109))*(1+$D$176)*1*$D$177)/(3.6*24*$D$178)</f>
        <v>16.240407729289942</v>
      </c>
      <c r="J173" s="513">
        <f xml:space="preserve"> (J167*($D$174-IF(J146&gt;=0.8*J165,$D$175,'Ввод исходных данных'!$D$109))*(1+$D$176)*1*$D$177)/(3.6*24*$D$178)</f>
        <v>16.240407729289942</v>
      </c>
      <c r="K173" s="513">
        <f xml:space="preserve"> (K167*($D$174-IF(K146&gt;=0.8*K165,$D$175,'Ввод исходных данных'!$D$109))*(1+$D$176)*1*$D$177)/(3.6*24*$D$178)</f>
        <v>11.958845691568047</v>
      </c>
      <c r="L173" s="513">
        <f xml:space="preserve"> (L167*($D$174-IF(L146&gt;=0.8*L165,$D$175,'Ввод исходных данных'!$D$109))*(1+$D$176)*1*$D$177)/(3.6*24*$D$178)</f>
        <v>11.958845691568047</v>
      </c>
      <c r="M173" s="513">
        <f xml:space="preserve"> (M167*($D$174-IF(M146&gt;=0.8*M165,$D$175,'Ввод исходных данных'!$D$109))*(1+$D$176)*1*$D$177)/(3.6*24*$D$178)</f>
        <v>11.958845691568047</v>
      </c>
      <c r="N173" s="513">
        <f xml:space="preserve"> (N167*($D$174-IF(N146&gt;=0.8*N165,$D$175,'Ввод исходных данных'!$D$109))*(1+$D$176)*1*$D$177)/(3.6*24*$D$178)</f>
        <v>11.958845691568047</v>
      </c>
      <c r="O173" s="513">
        <f xml:space="preserve"> (O167*($D$174-IF(O146&gt;=0.8*O165,$D$175,'Ввод исходных данных'!$D$109))*(1+$D$176)*1*$D$177)/(3.6*24*$D$178)</f>
        <v>11.958845691568047</v>
      </c>
      <c r="P173" s="513">
        <f xml:space="preserve"> (P167*($D$174-IF(P146&gt;=0.8*P165,$D$175,'Ввод исходных данных'!$D$109))*(1+$D$176)*1*$D$177)/(3.6*24*$D$178)</f>
        <v>16.240407729289942</v>
      </c>
      <c r="Q173" s="513">
        <f xml:space="preserve"> (Q167*($D$174-IF(Q146&gt;=0.8*Q165,$D$175,'Ввод исходных данных'!$D$109))*(1+$D$176)*1*$D$177)/(3.6*24*$D$178)</f>
        <v>16.240407729289942</v>
      </c>
      <c r="R173" s="513">
        <f xml:space="preserve"> (R167*($D$174-IF(R146&gt;=0.8*R165,$D$175,'Ввод исходных данных'!$D$109))*(1+$D$176)*1*$D$177)/(3.6*24*$D$178)</f>
        <v>16.240407729289942</v>
      </c>
      <c r="S173" s="74"/>
      <c r="T173" s="74"/>
      <c r="U173" s="74"/>
      <c r="V173" s="74"/>
      <c r="W173" s="74"/>
      <c r="X173" s="74"/>
      <c r="Y173" s="74"/>
      <c r="Z173" s="74"/>
      <c r="AA173" s="74"/>
      <c r="AB173" s="74"/>
      <c r="AC173" s="74"/>
      <c r="AD173" s="74"/>
      <c r="AE173" s="74"/>
    </row>
    <row r="174" spans="1:31" ht="15.75" customHeight="1" x14ac:dyDescent="0.25">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0.25</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25">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25">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25">
      <c r="A179" s="510" t="s">
        <v>914</v>
      </c>
      <c r="B179" s="515" t="s">
        <v>750</v>
      </c>
      <c r="C179" s="489" t="s">
        <v>562</v>
      </c>
      <c r="D179" s="508">
        <f>'Ввод исходных данных'!G45/'Ввод исходных данных'!D22</f>
        <v>21.5</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25">
      <c r="A181" s="510" t="s">
        <v>1572</v>
      </c>
      <c r="B181" s="515" t="s">
        <v>1573</v>
      </c>
      <c r="C181" s="489" t="s">
        <v>1579</v>
      </c>
      <c r="D181" s="508">
        <f>0.28*'Ввод исходных данных'!$G$49*(D183-D184)+0.03*D183*Климатология!$H$2^2</f>
        <v>13.259637820924457</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25">
      <c r="A182" s="510" t="s">
        <v>1575</v>
      </c>
      <c r="B182" s="515" t="s">
        <v>1574</v>
      </c>
      <c r="C182" s="489" t="s">
        <v>1579</v>
      </c>
      <c r="D182" s="508">
        <f>0.55*('Ввод исходных данных'!$G$49-1)*(D183-D184)+0.03*D183*Климатология!$H$2^2</f>
        <v>17.046858168614506</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25">
      <c r="A183" s="510" t="s">
        <v>1576</v>
      </c>
      <c r="B183" s="515"/>
      <c r="C183" s="489" t="s">
        <v>1580</v>
      </c>
      <c r="D183" s="508">
        <f>3463/(273+Климатология!$F$2)</f>
        <v>13.072857682144207</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25">
      <c r="A184" s="510" t="s">
        <v>1577</v>
      </c>
      <c r="B184" s="515"/>
      <c r="C184" s="489" t="s">
        <v>1580</v>
      </c>
      <c r="D184" s="508">
        <f>3463/(273+'Ввод исходных данных'!$D$83)</f>
        <v>11.900343642611684</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25">
      <c r="A185" s="510" t="s">
        <v>1571</v>
      </c>
      <c r="B185" s="515"/>
      <c r="C185" s="489" t="s">
        <v>1581</v>
      </c>
      <c r="D185" s="517">
        <f>0.12*(1-'Ввод исходных данных'!$D$34/'Ввод исходных данных'!$G$55)+0.86*'Ввод исходных данных'!$D$34/'Ввод исходных данных'!$G$55</f>
        <v>0.86</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25">
      <c r="A186" s="510" t="s">
        <v>1570</v>
      </c>
      <c r="B186" s="515"/>
      <c r="C186" s="489" t="s">
        <v>1581</v>
      </c>
      <c r="D186" s="517">
        <f>IF(списки!$D$35=0,0.14,0.16)</f>
        <v>0.16</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25">
      <c r="A187" s="510" t="s">
        <v>1569</v>
      </c>
      <c r="B187" s="515"/>
      <c r="C187" s="489" t="s">
        <v>1582</v>
      </c>
      <c r="D187" s="508">
        <f>(B136/D185)*(D181/10)^(2/3)</f>
        <v>22.454805928065085</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25">
      <c r="A188" s="510" t="s">
        <v>1568</v>
      </c>
      <c r="B188" s="515"/>
      <c r="C188" s="489" t="s">
        <v>1582</v>
      </c>
      <c r="D188" s="508">
        <f>(B143/D186)*(D182/10)^(1/2)</f>
        <v>65.281808661782847</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25">
      <c r="A189" s="510" t="s">
        <v>1567</v>
      </c>
      <c r="B189" s="515"/>
      <c r="C189" s="489" t="s">
        <v>1582</v>
      </c>
      <c r="D189" s="508">
        <f>D187+D188</f>
        <v>87.736614589847932</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25">
      <c r="A190" s="510" t="s">
        <v>1566</v>
      </c>
      <c r="B190" s="515"/>
      <c r="C190" s="489" t="s">
        <v>496</v>
      </c>
      <c r="D190" s="508">
        <f>0.024*$D$187*'Расчет базового уровня'!$D$147*0.28</f>
        <v>870.38492401507756</v>
      </c>
      <c r="E190" s="74"/>
      <c r="F190" s="74"/>
      <c r="G190" s="508">
        <f>0.024*$D$187*'Расчет базового уровня'!G$147*0.28</f>
        <v>165.12581653398854</v>
      </c>
      <c r="H190" s="508">
        <f>0.024*$D$187*'Расчет базового уровня'!H$147*0.28</f>
        <v>142.38574475141331</v>
      </c>
      <c r="I190" s="508">
        <f>0.024*$D$187*'Расчет базового уровня'!I$147*0.28</f>
        <v>123.4935285126713</v>
      </c>
      <c r="J190" s="508">
        <f>0.024*$D$187*'Расчет базового уровня'!J$147*0.28</f>
        <v>71.52484422654716</v>
      </c>
      <c r="K190" s="508">
        <f>0.024*$D$187*'Расчет базового уровня'!K$147*0.28</f>
        <v>4.6853299857263488</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5.296459983864569</v>
      </c>
      <c r="P190" s="508">
        <f>0.024*$D$187*'Расчет базового уровня'!P$147*0.28</f>
        <v>72.505670149485042</v>
      </c>
      <c r="Q190" s="508">
        <f>0.024*$D$187*'Расчет базового уровня'!Q$147*0.28</f>
        <v>114.98297742748723</v>
      </c>
      <c r="R190" s="508">
        <f>0.024*$D$187*'Расчет базового уровня'!R$147*0.28</f>
        <v>152.02801805537186</v>
      </c>
      <c r="S190" s="74"/>
      <c r="T190" s="74"/>
      <c r="U190" s="74"/>
      <c r="V190" s="74"/>
      <c r="W190" s="74"/>
      <c r="X190" s="74"/>
      <c r="Y190" s="74"/>
      <c r="Z190" s="74"/>
      <c r="AA190" s="74"/>
      <c r="AB190" s="74"/>
      <c r="AC190" s="74"/>
      <c r="AD190" s="74"/>
      <c r="AE190" s="74"/>
    </row>
    <row r="191" spans="1:32" x14ac:dyDescent="0.25">
      <c r="A191" s="510" t="s">
        <v>1565</v>
      </c>
      <c r="B191" s="515"/>
      <c r="C191" s="489" t="s">
        <v>496</v>
      </c>
      <c r="D191" s="508">
        <f>0.024*$D$188*'Расчет базового уровня'!$D$147*0.28</f>
        <v>2530.4294436424393</v>
      </c>
      <c r="E191" s="74"/>
      <c r="F191" s="74"/>
      <c r="G191" s="508">
        <f>0.024*$D$188*'Расчет базового уровня'!G$147*0.28</f>
        <v>480.06257522891792</v>
      </c>
      <c r="H191" s="508">
        <f>0.024*$D$188*'Расчет базового уровня'!H$147*0.28</f>
        <v>413.95142646989581</v>
      </c>
      <c r="I191" s="508">
        <f>0.024*$D$188*'Расчет базового уровня'!I$147*0.28</f>
        <v>359.02696844315676</v>
      </c>
      <c r="J191" s="508">
        <f>0.024*$D$188*'Расчет базового уровня'!J$147*0.28</f>
        <v>207.94083949420369</v>
      </c>
      <c r="K191" s="508">
        <f>0.024*$D$188*'Расчет базового уровня'!K$147*0.28</f>
        <v>13.621441068132963</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15.398150772672047</v>
      </c>
      <c r="P191" s="508">
        <f>0.024*$D$188*'Расчет базового уровня'!P$147*0.28</f>
        <v>210.79234889655035</v>
      </c>
      <c r="Q191" s="508">
        <f>0.024*$D$188*'Расчет базового уровня'!Q$147*0.28</f>
        <v>334.28464070587177</v>
      </c>
      <c r="R191" s="508">
        <f>0.024*$D$188*'Расчет базового уровня'!R$147*0.28</f>
        <v>441.98395736373465</v>
      </c>
      <c r="S191" s="74"/>
      <c r="T191" s="74"/>
      <c r="U191" s="74"/>
      <c r="V191" s="74"/>
      <c r="W191" s="74"/>
      <c r="X191" s="74"/>
      <c r="Y191" s="74"/>
      <c r="Z191" s="74"/>
      <c r="AA191" s="74"/>
      <c r="AB191" s="74"/>
      <c r="AC191" s="74"/>
      <c r="AD191" s="74"/>
      <c r="AE191" s="74"/>
    </row>
    <row r="192" spans="1:32" x14ac:dyDescent="0.25">
      <c r="A192" s="510" t="s">
        <v>1564</v>
      </c>
      <c r="B192" s="515"/>
      <c r="C192" s="489" t="s">
        <v>496</v>
      </c>
      <c r="D192" s="508">
        <f>0.024*$D$189*'Расчет базового уровня'!$D$147*0.28</f>
        <v>3400.8143676575173</v>
      </c>
      <c r="E192" s="74"/>
      <c r="F192" s="74"/>
      <c r="G192" s="508">
        <f>0.024*$D$189*'Расчет базового уровня'!G$147*0.28</f>
        <v>645.18839176290646</v>
      </c>
      <c r="H192" s="508">
        <f>0.024*$D$189*'Расчет базового уровня'!H$147*0.28</f>
        <v>556.33717122130918</v>
      </c>
      <c r="I192" s="508">
        <f>0.024*$D$189*'Расчет базового уровня'!I$147*0.28</f>
        <v>482.52049695582809</v>
      </c>
      <c r="J192" s="508">
        <f>0.024*$D$189*'Расчет базового уровня'!J$147*0.28</f>
        <v>279.46568372075086</v>
      </c>
      <c r="K192" s="508">
        <f>0.024*$D$189*'Расчет базового уровня'!K$147*0.28</f>
        <v>18.306771053859311</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20.694610756536616</v>
      </c>
      <c r="P192" s="508">
        <f>0.024*$D$189*'Расчет базового уровня'!P$147*0.28</f>
        <v>283.29801904603545</v>
      </c>
      <c r="Q192" s="508">
        <f>0.024*$D$189*'Расчет базового уровня'!Q$147*0.28</f>
        <v>449.26761813335901</v>
      </c>
      <c r="R192" s="508">
        <f>0.024*$D$189*'Расчет базового уровня'!R$147*0.28</f>
        <v>594.01197541910665</v>
      </c>
      <c r="S192" s="74"/>
      <c r="T192" s="74"/>
      <c r="U192" s="74"/>
      <c r="V192" s="74"/>
      <c r="W192" s="74"/>
      <c r="X192" s="74"/>
      <c r="Y192" s="74"/>
      <c r="Z192" s="74"/>
      <c r="AA192" s="74"/>
      <c r="AB192" s="74"/>
      <c r="AC192" s="74"/>
      <c r="AD192" s="74"/>
      <c r="AE192" s="74"/>
    </row>
    <row r="193" spans="4:31" x14ac:dyDescent="0.25">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25">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25">
      <c r="D195" s="99"/>
    </row>
  </sheetData>
  <sheetProtection algorithmName="SHA-512" hashValue="ZQRhFkMCPUSaFkuXhKAgHIQyolhHO9FwJIVFEJy4+6bWTklnF58zHul1bCgpZLgtCANa1fMYWYCfr8FDnP96hQ==" saltValue="+6RC99na82jf7C/CNmtbuw=="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40625" defaultRowHeight="15" x14ac:dyDescent="0.25"/>
  <cols>
    <col min="1" max="1" width="32.7109375" style="75" customWidth="1"/>
    <col min="2" max="2" width="9.28515625" style="75" customWidth="1"/>
    <col min="3" max="3" width="15.5703125" style="75" customWidth="1"/>
    <col min="4" max="4" width="13.140625" style="75" customWidth="1"/>
    <col min="5" max="5" width="15.140625" style="75" customWidth="1"/>
    <col min="6" max="6" width="12" style="75" customWidth="1"/>
    <col min="7" max="7" width="34.5703125" style="75" customWidth="1"/>
    <col min="8" max="8" width="7.7109375" style="75" customWidth="1"/>
    <col min="9" max="9" width="12.7109375" style="75" customWidth="1"/>
    <col min="10" max="10" width="13.42578125" style="75" customWidth="1"/>
    <col min="11" max="11" width="12.28515625" style="75" customWidth="1"/>
    <col min="12" max="12" width="13.140625" style="75" customWidth="1"/>
    <col min="13" max="13" width="12.7109375" style="75" customWidth="1"/>
    <col min="14" max="14" width="11.28515625" style="75" customWidth="1"/>
    <col min="15" max="15" width="15.7109375" style="75" customWidth="1"/>
    <col min="16" max="16" width="11.7109375" style="75" customWidth="1"/>
    <col min="17" max="17" width="11.42578125" style="75" customWidth="1"/>
    <col min="18" max="19" width="12.42578125" style="75" customWidth="1"/>
    <col min="20" max="20" width="12.5703125" style="75" customWidth="1"/>
    <col min="21" max="21" width="11.5703125" style="75" customWidth="1"/>
    <col min="22" max="22" width="12" style="75" customWidth="1"/>
    <col min="23" max="23" width="12.42578125" style="75" customWidth="1"/>
    <col min="24" max="24" width="14.140625" style="75" customWidth="1"/>
    <col min="25" max="25" width="12" style="75" customWidth="1"/>
    <col min="26" max="26" width="10.42578125" style="75" customWidth="1"/>
    <col min="27" max="27" width="11.7109375" style="75" customWidth="1"/>
    <col min="28" max="28" width="12.5703125" style="75" customWidth="1"/>
    <col min="29" max="29" width="12.7109375" style="75" customWidth="1"/>
    <col min="30" max="30" width="12.42578125" style="75" customWidth="1"/>
    <col min="31" max="31" width="12.5703125" style="75" customWidth="1"/>
    <col min="32" max="32" width="13.28515625" style="75" customWidth="1"/>
    <col min="33" max="16384" width="9.140625" style="75"/>
  </cols>
  <sheetData>
    <row r="1" spans="1:4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
      <c r="A3" s="1788" t="s">
        <v>1172</v>
      </c>
      <c r="B3" s="1788"/>
      <c r="C3" s="1788"/>
      <c r="D3" s="1788"/>
      <c r="E3" s="1788"/>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25">
      <c r="A4" s="1792" t="s">
        <v>834</v>
      </c>
      <c r="B4" s="1778" t="s">
        <v>1174</v>
      </c>
      <c r="C4" s="1774" t="s">
        <v>1338</v>
      </c>
      <c r="D4" s="1794" t="s">
        <v>1337</v>
      </c>
      <c r="E4" s="74"/>
      <c r="F4" s="74"/>
      <c r="G4" s="1812" t="s">
        <v>834</v>
      </c>
      <c r="H4" s="1797" t="s">
        <v>1174</v>
      </c>
      <c r="I4" s="1797" t="s">
        <v>488</v>
      </c>
      <c r="J4" s="1797"/>
      <c r="K4" s="1797" t="s">
        <v>489</v>
      </c>
      <c r="L4" s="1797"/>
      <c r="M4" s="1797" t="s">
        <v>490</v>
      </c>
      <c r="N4" s="1797"/>
      <c r="O4" s="1797" t="s">
        <v>491</v>
      </c>
      <c r="P4" s="1797"/>
      <c r="Q4" s="1797" t="s">
        <v>805</v>
      </c>
      <c r="R4" s="1797"/>
      <c r="S4" s="1797" t="s">
        <v>806</v>
      </c>
      <c r="T4" s="1797"/>
      <c r="U4" s="1797" t="s">
        <v>807</v>
      </c>
      <c r="V4" s="1797"/>
      <c r="W4" s="1797" t="s">
        <v>808</v>
      </c>
      <c r="X4" s="1797"/>
      <c r="Y4" s="1797" t="s">
        <v>809</v>
      </c>
      <c r="Z4" s="1797"/>
      <c r="AA4" s="1797" t="s">
        <v>482</v>
      </c>
      <c r="AB4" s="1797"/>
      <c r="AC4" s="1797" t="s">
        <v>486</v>
      </c>
      <c r="AD4" s="1797"/>
      <c r="AE4" s="1797" t="s">
        <v>487</v>
      </c>
      <c r="AF4" s="1797"/>
      <c r="AG4" s="74"/>
      <c r="AH4" s="74"/>
      <c r="AI4" s="74"/>
      <c r="AJ4" s="74"/>
      <c r="AK4" s="74"/>
      <c r="AL4" s="74"/>
      <c r="AM4" s="74"/>
      <c r="AN4" s="74"/>
      <c r="AO4" s="74"/>
      <c r="AP4" s="74"/>
      <c r="AQ4" s="74"/>
      <c r="AR4" s="74"/>
      <c r="AS4" s="74"/>
      <c r="AT4" s="74"/>
      <c r="AU4" s="74"/>
    </row>
    <row r="5" spans="1:47" ht="72.95" customHeight="1" x14ac:dyDescent="0.25">
      <c r="A5" s="1808"/>
      <c r="B5" s="1809"/>
      <c r="C5" s="1811"/>
      <c r="D5" s="1810"/>
      <c r="E5" s="74"/>
      <c r="F5" s="74"/>
      <c r="G5" s="1813"/>
      <c r="H5" s="1814"/>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25">
      <c r="A6" s="303" t="s">
        <v>1178</v>
      </c>
      <c r="B6" s="304" t="s">
        <v>842</v>
      </c>
      <c r="C6" s="305">
        <f>'Расчет базового уровня'!D6</f>
        <v>753352.02745085466</v>
      </c>
      <c r="D6" s="305">
        <f>D12+D15+D18</f>
        <v>606468.13999081007</v>
      </c>
      <c r="E6" s="74"/>
      <c r="F6" s="74"/>
      <c r="G6" s="303" t="s">
        <v>1178</v>
      </c>
      <c r="H6" s="304" t="s">
        <v>842</v>
      </c>
      <c r="I6" s="306">
        <f>'Расчет базового уровня'!J6</f>
        <v>111002.61025</v>
      </c>
      <c r="J6" s="306">
        <f>J12+J15+J18</f>
        <v>101039.48894713209</v>
      </c>
      <c r="K6" s="306">
        <f>'Расчет базового уровня'!M6</f>
        <v>109330.5</v>
      </c>
      <c r="L6" s="306">
        <f>L12+L15+L18</f>
        <v>88099.962851496806</v>
      </c>
      <c r="M6" s="306">
        <f>'Расчет базового уровня'!P6</f>
        <v>74569.337499999994</v>
      </c>
      <c r="N6" s="306">
        <f>N12+N15+N18</f>
        <v>70323.025869081583</v>
      </c>
      <c r="O6" s="306">
        <f>'Расчет базового уровня'!S6</f>
        <v>74540.306249999994</v>
      </c>
      <c r="P6" s="306">
        <f>P12+P15+P18</f>
        <v>31129.186587509168</v>
      </c>
      <c r="Q6" s="306">
        <f>'Расчет базового уровня'!V6</f>
        <v>59413.912499999999</v>
      </c>
      <c r="R6" s="306">
        <f>R12+R15+R18</f>
        <v>15358.592416485493</v>
      </c>
      <c r="S6" s="306">
        <f>'Расчет базового уровня'!Y6</f>
        <v>472</v>
      </c>
      <c r="T6" s="306">
        <f>T12+T15+T18</f>
        <v>13733.755833333333</v>
      </c>
      <c r="U6" s="306">
        <f>'Расчет базового уровня'!AB6</f>
        <v>490</v>
      </c>
      <c r="V6" s="306">
        <f>V12+V15+V18</f>
        <v>13733.755833333333</v>
      </c>
      <c r="W6" s="306">
        <f>'Расчет базового уровня'!AE6</f>
        <v>655</v>
      </c>
      <c r="X6" s="306">
        <f>X12+X15+X18</f>
        <v>13733.755833333333</v>
      </c>
      <c r="Y6" s="306">
        <f>'Расчет базового уровня'!AH6</f>
        <v>14813.75</v>
      </c>
      <c r="Z6" s="306">
        <f>Z12+Z15+Z18</f>
        <v>13733.755833333333</v>
      </c>
      <c r="AA6" s="306">
        <f>'Расчет базового уровня'!AK6</f>
        <v>67501.350000000006</v>
      </c>
      <c r="AB6" s="306">
        <f>AB12+AB15+AB18</f>
        <v>58439.1246270665</v>
      </c>
      <c r="AC6" s="306">
        <f>'Расчет базового уровня'!AN6</f>
        <v>97513.65</v>
      </c>
      <c r="AD6" s="306">
        <f>AD12+AD15+AD18</f>
        <v>90689.421915485436</v>
      </c>
      <c r="AE6" s="306">
        <f>'Расчет базового уровня'!AQ6</f>
        <v>101809.58125000002</v>
      </c>
      <c r="AF6" s="306">
        <f>AF12+AF15+AF18</f>
        <v>86606.863165340124</v>
      </c>
      <c r="AG6" s="74"/>
      <c r="AH6" s="74"/>
      <c r="AI6" s="74"/>
      <c r="AJ6" s="74"/>
      <c r="AK6" s="74"/>
      <c r="AL6" s="74"/>
      <c r="AM6" s="74"/>
      <c r="AN6" s="74"/>
      <c r="AO6" s="74"/>
      <c r="AP6" s="74"/>
      <c r="AQ6" s="74"/>
      <c r="AR6" s="74"/>
      <c r="AS6" s="74"/>
      <c r="AT6" s="74"/>
      <c r="AU6" s="74"/>
    </row>
    <row r="7" spans="1:47" ht="19.5" customHeight="1" x14ac:dyDescent="0.25">
      <c r="A7" s="307" t="s">
        <v>1339</v>
      </c>
      <c r="B7" s="304" t="s">
        <v>842</v>
      </c>
      <c r="C7" s="308"/>
      <c r="D7" s="308">
        <f>C6-D6</f>
        <v>146883.88746004459</v>
      </c>
      <c r="E7" s="74"/>
      <c r="F7" s="74"/>
      <c r="G7" s="307" t="s">
        <v>1339</v>
      </c>
      <c r="H7" s="304" t="s">
        <v>842</v>
      </c>
      <c r="I7" s="308"/>
      <c r="J7" s="308">
        <f>I6-J6</f>
        <v>9963.1213028679049</v>
      </c>
      <c r="K7" s="308"/>
      <c r="L7" s="308">
        <f>K6-L6</f>
        <v>21230.537148503194</v>
      </c>
      <c r="M7" s="308"/>
      <c r="N7" s="308">
        <f>M6-N6</f>
        <v>4246.3116309184115</v>
      </c>
      <c r="O7" s="308"/>
      <c r="P7" s="308">
        <f>O6-P6</f>
        <v>43411.119662490826</v>
      </c>
      <c r="Q7" s="308"/>
      <c r="R7" s="308">
        <f>Q6-R6</f>
        <v>44055.320083514503</v>
      </c>
      <c r="S7" s="308"/>
      <c r="T7" s="308">
        <f>S6-T6</f>
        <v>-13261.755833333333</v>
      </c>
      <c r="U7" s="308"/>
      <c r="V7" s="308">
        <f>U6-V6</f>
        <v>-13243.755833333333</v>
      </c>
      <c r="W7" s="308"/>
      <c r="X7" s="308">
        <f>W6-X6</f>
        <v>-13078.755833333333</v>
      </c>
      <c r="Y7" s="308"/>
      <c r="Z7" s="308">
        <f>Y6-Z6</f>
        <v>1079.9941666666673</v>
      </c>
      <c r="AA7" s="308"/>
      <c r="AB7" s="308">
        <f>AA6-AB6</f>
        <v>9062.2253729335062</v>
      </c>
      <c r="AC7" s="308"/>
      <c r="AD7" s="308">
        <f>AC6-AD6</f>
        <v>6824.2280845145578</v>
      </c>
      <c r="AE7" s="308"/>
      <c r="AF7" s="308">
        <f>AE6-AF6</f>
        <v>15202.718084659893</v>
      </c>
      <c r="AG7" s="74"/>
      <c r="AH7" s="74"/>
      <c r="AI7" s="74"/>
      <c r="AJ7" s="74"/>
      <c r="AK7" s="74"/>
      <c r="AL7" s="74"/>
      <c r="AM7" s="74"/>
      <c r="AN7" s="74"/>
      <c r="AO7" s="74"/>
      <c r="AP7" s="74"/>
      <c r="AQ7" s="74"/>
      <c r="AR7" s="74"/>
      <c r="AS7" s="74"/>
      <c r="AT7" s="74"/>
      <c r="AU7" s="74"/>
    </row>
    <row r="8" spans="1:47" ht="14.25" customHeight="1" x14ac:dyDescent="0.25">
      <c r="A8" s="307" t="s">
        <v>874</v>
      </c>
      <c r="B8" s="309" t="s">
        <v>1181</v>
      </c>
      <c r="C8" s="310"/>
      <c r="D8" s="310">
        <f>D7/C6</f>
        <v>0.19497377335939622</v>
      </c>
      <c r="E8" s="74"/>
      <c r="F8" s="74"/>
      <c r="G8" s="307" t="s">
        <v>874</v>
      </c>
      <c r="H8" s="309" t="s">
        <v>1181</v>
      </c>
      <c r="I8" s="310"/>
      <c r="J8" s="310">
        <f>IF(I6=0,0,J7/I6)</f>
        <v>8.9755738900454421E-2</v>
      </c>
      <c r="K8" s="310"/>
      <c r="L8" s="310">
        <f>IF(K6=0,0,L7/K6)</f>
        <v>0.19418677449113644</v>
      </c>
      <c r="M8" s="310"/>
      <c r="N8" s="310">
        <f>IF(M6=0,0,N7/M6)</f>
        <v>5.6944473067343689E-2</v>
      </c>
      <c r="O8" s="310"/>
      <c r="P8" s="310">
        <f>IF(O6=0,0,P7/O6)</f>
        <v>0.58238450908552353</v>
      </c>
      <c r="Q8" s="310"/>
      <c r="R8" s="310">
        <f>IF(Q6=0,0,R7/Q6)</f>
        <v>0.74149838362377674</v>
      </c>
      <c r="S8" s="310"/>
      <c r="T8" s="310">
        <f>IF(S6=0,0,T7/S6)</f>
        <v>-28.096940324858757</v>
      </c>
      <c r="U8" s="310"/>
      <c r="V8" s="310">
        <f>IF(U6=0,0,V7/U6)</f>
        <v>-27.028073129251698</v>
      </c>
      <c r="W8" s="310"/>
      <c r="X8" s="310">
        <f>IF(W6=0,0,X7/W6)</f>
        <v>-19.967566157760814</v>
      </c>
      <c r="Y8" s="310"/>
      <c r="Z8" s="310">
        <f>IF(Y6=0,0,Z7/Y6)</f>
        <v>7.290484628582683E-2</v>
      </c>
      <c r="AA8" s="310"/>
      <c r="AB8" s="310">
        <f>IF(AA6=0,0,AB7/AA6)</f>
        <v>0.13425250566001282</v>
      </c>
      <c r="AC8" s="310"/>
      <c r="AD8" s="310">
        <f>IF(AC6=0,0,AD7/AC6)</f>
        <v>6.9982285398142288E-2</v>
      </c>
      <c r="AE8" s="310"/>
      <c r="AF8" s="310">
        <f>IF(AE6=0,0,AF7/AE6)</f>
        <v>0.1493250232247654</v>
      </c>
      <c r="AG8" s="74"/>
      <c r="AH8" s="74"/>
      <c r="AI8" s="74"/>
      <c r="AJ8" s="74"/>
      <c r="AK8" s="74"/>
      <c r="AL8" s="74"/>
      <c r="AM8" s="74"/>
      <c r="AN8" s="74"/>
      <c r="AO8" s="74"/>
      <c r="AP8" s="74"/>
      <c r="AQ8" s="74"/>
      <c r="AR8" s="74"/>
      <c r="AS8" s="74"/>
      <c r="AT8" s="74"/>
      <c r="AU8" s="74"/>
    </row>
    <row r="9" spans="1:47" ht="30" customHeight="1" x14ac:dyDescent="0.25">
      <c r="A9" s="311" t="s">
        <v>1182</v>
      </c>
      <c r="B9" s="304" t="s">
        <v>842</v>
      </c>
      <c r="C9" s="305">
        <f>'Расчет базового уровня'!D9</f>
        <v>745551.95745085471</v>
      </c>
      <c r="D9" s="305">
        <f>D12+D15</f>
        <v>598365.00288766227</v>
      </c>
      <c r="E9" s="74"/>
      <c r="F9" s="74"/>
      <c r="G9" s="311" t="s">
        <v>1182</v>
      </c>
      <c r="H9" s="304" t="s">
        <v>842</v>
      </c>
      <c r="I9" s="306">
        <f>'Расчет базового уровня'!J9</f>
        <v>110062.54024999999</v>
      </c>
      <c r="J9" s="306">
        <f>J12+J15</f>
        <v>100329.25112303559</v>
      </c>
      <c r="K9" s="306">
        <f>'Расчет базового уровня'!M9</f>
        <v>108740.5</v>
      </c>
      <c r="L9" s="306">
        <f>L12+L15</f>
        <v>87399.472358349944</v>
      </c>
      <c r="M9" s="306">
        <f>'Расчет базового уровня'!P9</f>
        <v>73981.337499999994</v>
      </c>
      <c r="N9" s="306">
        <f>N12+N15</f>
        <v>69633.199338006918</v>
      </c>
      <c r="O9" s="306">
        <f>'Расчет базового уровня'!S9</f>
        <v>73872.306249999994</v>
      </c>
      <c r="P9" s="306">
        <f>P12+P15</f>
        <v>30471.36324695632</v>
      </c>
      <c r="Q9" s="306">
        <f>'Расчет базового уровня'!V9</f>
        <v>58309.912499999999</v>
      </c>
      <c r="R9" s="306">
        <f>R12+R15</f>
        <v>14707.288106512782</v>
      </c>
      <c r="S9" s="306">
        <f>'Расчет базового уровня'!Y9</f>
        <v>0</v>
      </c>
      <c r="T9" s="306">
        <f>T12+T15</f>
        <v>13083.75</v>
      </c>
      <c r="U9" s="306">
        <f>'Расчет базового уровня'!AB9</f>
        <v>0</v>
      </c>
      <c r="V9" s="306">
        <f>V12+V15</f>
        <v>13083.75</v>
      </c>
      <c r="W9" s="306">
        <f>'Расчет базового уровня'!AE9</f>
        <v>0</v>
      </c>
      <c r="X9" s="306">
        <f>X12+X15</f>
        <v>13083.75</v>
      </c>
      <c r="Y9" s="306">
        <f>'Расчет базового уровня'!AH9</f>
        <v>14246.75</v>
      </c>
      <c r="Z9" s="306">
        <f>Z12+Z15</f>
        <v>13083.75</v>
      </c>
      <c r="AA9" s="306">
        <f>'Расчет базового уровня'!AK9</f>
        <v>66814.350000000006</v>
      </c>
      <c r="AB9" s="306">
        <f>AB12+AB15</f>
        <v>57758.205564036791</v>
      </c>
      <c r="AC9" s="306">
        <f>'Расчет базового уровня'!AN9</f>
        <v>97168.65</v>
      </c>
      <c r="AD9" s="306">
        <f>AD12+AD15</f>
        <v>89984.650898357941</v>
      </c>
      <c r="AE9" s="306">
        <f>'Расчет базового уровня'!AQ9</f>
        <v>101115.58125000002</v>
      </c>
      <c r="AF9" s="306">
        <f>AF12+AF15</f>
        <v>85904.934158153686</v>
      </c>
      <c r="AG9" s="74"/>
      <c r="AH9" s="74"/>
      <c r="AI9" s="74"/>
      <c r="AJ9" s="74"/>
      <c r="AK9" s="74"/>
      <c r="AL9" s="74"/>
      <c r="AM9" s="74"/>
      <c r="AN9" s="74"/>
      <c r="AO9" s="74"/>
      <c r="AP9" s="74"/>
      <c r="AQ9" s="74"/>
      <c r="AR9" s="74"/>
      <c r="AS9" s="74"/>
      <c r="AT9" s="74"/>
      <c r="AU9" s="74"/>
    </row>
    <row r="10" spans="1:47" ht="16.5" customHeight="1" x14ac:dyDescent="0.25">
      <c r="A10" s="307" t="s">
        <v>1339</v>
      </c>
      <c r="B10" s="304" t="s">
        <v>842</v>
      </c>
      <c r="C10" s="308"/>
      <c r="D10" s="308">
        <f>C9-D9</f>
        <v>147186.95456319244</v>
      </c>
      <c r="E10" s="74"/>
      <c r="F10" s="74"/>
      <c r="G10" s="307" t="s">
        <v>1339</v>
      </c>
      <c r="H10" s="304" t="s">
        <v>842</v>
      </c>
      <c r="I10" s="308"/>
      <c r="J10" s="308">
        <f>I9-J9</f>
        <v>9733.2891269644024</v>
      </c>
      <c r="K10" s="308"/>
      <c r="L10" s="308">
        <f>K9-L9</f>
        <v>21341.027641650056</v>
      </c>
      <c r="M10" s="308"/>
      <c r="N10" s="308">
        <f>M9-N9</f>
        <v>4348.1381619930762</v>
      </c>
      <c r="O10" s="308"/>
      <c r="P10" s="308">
        <f>O9-P9</f>
        <v>43400.943003043678</v>
      </c>
      <c r="Q10" s="308"/>
      <c r="R10" s="308">
        <f>Q9-R9</f>
        <v>43602.624393487218</v>
      </c>
      <c r="S10" s="308"/>
      <c r="T10" s="308">
        <f>S9-T9</f>
        <v>-13083.75</v>
      </c>
      <c r="U10" s="308"/>
      <c r="V10" s="308">
        <f>U9-V9</f>
        <v>-13083.75</v>
      </c>
      <c r="W10" s="308"/>
      <c r="X10" s="308">
        <f>W9-X9</f>
        <v>-13083.75</v>
      </c>
      <c r="Y10" s="308"/>
      <c r="Z10" s="308">
        <f>Y9-Z9</f>
        <v>1163</v>
      </c>
      <c r="AA10" s="308"/>
      <c r="AB10" s="308">
        <f>AA9-AB9</f>
        <v>9056.1444359632151</v>
      </c>
      <c r="AC10" s="308"/>
      <c r="AD10" s="308">
        <f>AC9-AD9</f>
        <v>7183.9991016420536</v>
      </c>
      <c r="AE10" s="308"/>
      <c r="AF10" s="308">
        <f>AE9-AF9</f>
        <v>15210.647091846331</v>
      </c>
      <c r="AG10" s="74"/>
      <c r="AH10" s="74"/>
      <c r="AI10" s="74"/>
      <c r="AJ10" s="74"/>
      <c r="AK10" s="74"/>
      <c r="AL10" s="74"/>
      <c r="AM10" s="74"/>
      <c r="AN10" s="74"/>
      <c r="AO10" s="74"/>
      <c r="AP10" s="74"/>
      <c r="AQ10" s="74"/>
      <c r="AR10" s="74"/>
      <c r="AS10" s="74"/>
      <c r="AT10" s="74"/>
      <c r="AU10" s="74"/>
    </row>
    <row r="11" spans="1:47" ht="15.75" customHeight="1" x14ac:dyDescent="0.25">
      <c r="A11" s="307" t="s">
        <v>874</v>
      </c>
      <c r="B11" s="309" t="s">
        <v>1181</v>
      </c>
      <c r="C11" s="310"/>
      <c r="D11" s="310">
        <f>D10/C9</f>
        <v>0.19742011685737504</v>
      </c>
      <c r="E11" s="74"/>
      <c r="F11" s="74"/>
      <c r="G11" s="307" t="s">
        <v>874</v>
      </c>
      <c r="H11" s="309" t="s">
        <v>1181</v>
      </c>
      <c r="I11" s="310"/>
      <c r="J11" s="310">
        <f>IF(I9=0,0,J10/I9)</f>
        <v>8.8434167563785651E-2</v>
      </c>
      <c r="K11" s="310"/>
      <c r="L11" s="310">
        <f>IF(K9=0,0,L10/K9)</f>
        <v>0.19625647887999464</v>
      </c>
      <c r="M11" s="310"/>
      <c r="N11" s="310">
        <f>IF(M9=0,0,N10/M9)</f>
        <v>5.877344623558714E-2</v>
      </c>
      <c r="O11" s="310"/>
      <c r="P11" s="310">
        <f>IF(O9=0,0,P10/O9)</f>
        <v>0.58751303710710512</v>
      </c>
      <c r="Q11" s="310"/>
      <c r="R11" s="310">
        <f>IF(Q9=0,0,R10/Q9)</f>
        <v>0.74777379220878126</v>
      </c>
      <c r="S11" s="310"/>
      <c r="T11" s="310">
        <f>IF(S9=0,0,T10/S9)</f>
        <v>0</v>
      </c>
      <c r="U11" s="310"/>
      <c r="V11" s="310">
        <f>IF(U9=0,0,V10/U9)</f>
        <v>0</v>
      </c>
      <c r="W11" s="310"/>
      <c r="X11" s="310">
        <f>IF(W9=0,0,X10/W9)</f>
        <v>0</v>
      </c>
      <c r="Y11" s="310"/>
      <c r="Z11" s="310">
        <f>IF(Y9=0,0,Z10/Y9)</f>
        <v>8.1632653061224483E-2</v>
      </c>
      <c r="AA11" s="310"/>
      <c r="AB11" s="310">
        <f>IF(AA9=0,0,AB10/AA9)</f>
        <v>0.13554190732923713</v>
      </c>
      <c r="AC11" s="310"/>
      <c r="AD11" s="310">
        <f>IF(AC9=0,0,AD10/AC9)</f>
        <v>7.3933301549852282E-2</v>
      </c>
      <c r="AE11" s="310"/>
      <c r="AF11" s="310">
        <f>IF(AE9=0,0,AF10/AE9)</f>
        <v>0.15042832077718318</v>
      </c>
      <c r="AG11" s="74"/>
      <c r="AH11" s="74"/>
      <c r="AI11" s="74"/>
      <c r="AJ11" s="74"/>
      <c r="AK11" s="74"/>
      <c r="AL11" s="74"/>
      <c r="AM11" s="74"/>
      <c r="AN11" s="74"/>
      <c r="AO11" s="74"/>
      <c r="AP11" s="74"/>
      <c r="AQ11" s="74"/>
      <c r="AR11" s="74"/>
      <c r="AS11" s="74"/>
      <c r="AT11" s="74"/>
      <c r="AU11" s="74"/>
    </row>
    <row r="12" spans="1:47" ht="20.25" customHeight="1" x14ac:dyDescent="0.25">
      <c r="A12" s="312" t="s">
        <v>1185</v>
      </c>
      <c r="B12" s="304" t="s">
        <v>842</v>
      </c>
      <c r="C12" s="305">
        <f>'Расчет базового уровня'!D12</f>
        <v>556661.80900000001</v>
      </c>
      <c r="D12" s="305">
        <f>D35</f>
        <v>409474.85443680757</v>
      </c>
      <c r="E12" s="74"/>
      <c r="F12" s="74"/>
      <c r="G12" s="312" t="s">
        <v>1185</v>
      </c>
      <c r="H12" s="304" t="s">
        <v>842</v>
      </c>
      <c r="I12" s="306">
        <f>'Расчет базового уровня'!J12</f>
        <v>91112.909</v>
      </c>
      <c r="J12" s="306">
        <f>J35</f>
        <v>81379.619873035583</v>
      </c>
      <c r="K12" s="306">
        <f>'Расчет базового уровня'!M12</f>
        <v>89551</v>
      </c>
      <c r="L12" s="306">
        <f>L35</f>
        <v>68209.972358349944</v>
      </c>
      <c r="M12" s="306">
        <f>'Расчет базового уровня'!P12</f>
        <v>58150</v>
      </c>
      <c r="N12" s="306">
        <f>N35</f>
        <v>53801.861838006924</v>
      </c>
      <c r="O12" s="306">
        <f>'Расчет базового уровня'!S12</f>
        <v>53963.199999999997</v>
      </c>
      <c r="P12" s="306">
        <f>P35</f>
        <v>10562.256996956323</v>
      </c>
      <c r="Q12" s="306">
        <f>'Расчет базового уровня'!V12</f>
        <v>45357</v>
      </c>
      <c r="R12" s="306">
        <f>R35</f>
        <v>1754.3756065127836</v>
      </c>
      <c r="S12" s="306">
        <f>'Расчет базового уровня'!Y12</f>
        <v>-13083.75</v>
      </c>
      <c r="T12" s="306">
        <f>T35</f>
        <v>0</v>
      </c>
      <c r="U12" s="306">
        <f>'Расчет базового уровня'!AB12</f>
        <v>-13083.75</v>
      </c>
      <c r="V12" s="306">
        <f>V35</f>
        <v>0</v>
      </c>
      <c r="W12" s="306">
        <f>'Расчет базового уровня'!AE12</f>
        <v>-13083.75</v>
      </c>
      <c r="X12" s="306">
        <f>X35</f>
        <v>0</v>
      </c>
      <c r="Y12" s="306">
        <f>'Расчет базового уровня'!AH12</f>
        <v>1163</v>
      </c>
      <c r="Z12" s="306">
        <f>Z35</f>
        <v>0</v>
      </c>
      <c r="AA12" s="306">
        <f>'Расчет базового уровня'!AK12</f>
        <v>50823.100000000006</v>
      </c>
      <c r="AB12" s="306">
        <f>AB35</f>
        <v>41766.955564036791</v>
      </c>
      <c r="AC12" s="306">
        <f>'Расчет базового уровня'!AN12</f>
        <v>81177.399999999994</v>
      </c>
      <c r="AD12" s="306">
        <f>AD35</f>
        <v>73993.400898357941</v>
      </c>
      <c r="AE12" s="306">
        <f>'Расчет базового уровня'!AQ12</f>
        <v>85364.200000000012</v>
      </c>
      <c r="AF12" s="306">
        <f>AF35</f>
        <v>70153.552908153681</v>
      </c>
      <c r="AG12" s="74"/>
      <c r="AH12" s="74"/>
      <c r="AI12" s="74"/>
      <c r="AJ12" s="74"/>
      <c r="AK12" s="74"/>
      <c r="AL12" s="74"/>
      <c r="AM12" s="74"/>
      <c r="AN12" s="74"/>
      <c r="AO12" s="74"/>
      <c r="AP12" s="74"/>
      <c r="AQ12" s="74"/>
      <c r="AR12" s="74"/>
      <c r="AS12" s="74"/>
      <c r="AT12" s="74"/>
      <c r="AU12" s="74"/>
    </row>
    <row r="13" spans="1:47" x14ac:dyDescent="0.25">
      <c r="A13" s="307" t="s">
        <v>1339</v>
      </c>
      <c r="B13" s="304" t="s">
        <v>842</v>
      </c>
      <c r="C13" s="308"/>
      <c r="D13" s="308">
        <f>C12-D12</f>
        <v>147186.95456319244</v>
      </c>
      <c r="E13" s="74"/>
      <c r="F13" s="74"/>
      <c r="G13" s="307" t="s">
        <v>1339</v>
      </c>
      <c r="H13" s="304" t="s">
        <v>842</v>
      </c>
      <c r="I13" s="308"/>
      <c r="J13" s="308">
        <f>I12-J12</f>
        <v>9733.2891269644169</v>
      </c>
      <c r="K13" s="308"/>
      <c r="L13" s="308">
        <f>K12-L12</f>
        <v>21341.027641650056</v>
      </c>
      <c r="M13" s="308"/>
      <c r="N13" s="308">
        <f>M12-N12</f>
        <v>4348.1381619930762</v>
      </c>
      <c r="O13" s="308"/>
      <c r="P13" s="308">
        <f>O12-P12</f>
        <v>43400.943003043678</v>
      </c>
      <c r="Q13" s="308"/>
      <c r="R13" s="308">
        <f>Q12-R12</f>
        <v>43602.624393487218</v>
      </c>
      <c r="S13" s="308"/>
      <c r="T13" s="308">
        <f>S12-T12</f>
        <v>-13083.75</v>
      </c>
      <c r="U13" s="308"/>
      <c r="V13" s="308">
        <f>U12-V12</f>
        <v>-13083.75</v>
      </c>
      <c r="W13" s="308"/>
      <c r="X13" s="308">
        <f>W12-X12</f>
        <v>-13083.75</v>
      </c>
      <c r="Y13" s="308"/>
      <c r="Z13" s="308">
        <f>Y12-Z12</f>
        <v>1163</v>
      </c>
      <c r="AA13" s="308"/>
      <c r="AB13" s="308">
        <f>AA12-AB12</f>
        <v>9056.1444359632151</v>
      </c>
      <c r="AC13" s="308"/>
      <c r="AD13" s="308">
        <f>AC12-AD12</f>
        <v>7183.9991016420536</v>
      </c>
      <c r="AE13" s="308"/>
      <c r="AF13" s="308">
        <f>AE12-AF12</f>
        <v>15210.647091846331</v>
      </c>
      <c r="AG13" s="74"/>
      <c r="AH13" s="74"/>
      <c r="AI13" s="74"/>
      <c r="AJ13" s="74"/>
      <c r="AK13" s="74"/>
      <c r="AL13" s="74"/>
      <c r="AM13" s="74"/>
      <c r="AN13" s="74"/>
      <c r="AO13" s="74"/>
      <c r="AP13" s="74"/>
      <c r="AQ13" s="74"/>
      <c r="AR13" s="74"/>
      <c r="AS13" s="74"/>
      <c r="AT13" s="74"/>
      <c r="AU13" s="74"/>
    </row>
    <row r="14" spans="1:47" x14ac:dyDescent="0.25">
      <c r="A14" s="307" t="s">
        <v>874</v>
      </c>
      <c r="B14" s="309" t="s">
        <v>1181</v>
      </c>
      <c r="C14" s="310"/>
      <c r="D14" s="310">
        <f>D13/C12</f>
        <v>0.26441001014170967</v>
      </c>
      <c r="E14" s="74"/>
      <c r="F14" s="74"/>
      <c r="G14" s="307" t="s">
        <v>874</v>
      </c>
      <c r="H14" s="309" t="s">
        <v>1181</v>
      </c>
      <c r="I14" s="310"/>
      <c r="J14" s="310">
        <f>IF(I12=0,0,J13/I12)</f>
        <v>0.10682667509786585</v>
      </c>
      <c r="K14" s="310"/>
      <c r="L14" s="310">
        <f>IF(K12=0,0,L13/K12)</f>
        <v>0.23831143863999349</v>
      </c>
      <c r="M14" s="310"/>
      <c r="N14" s="310">
        <f>IF(M12=0,0,N13/M12)</f>
        <v>7.4774516973225735E-2</v>
      </c>
      <c r="O14" s="310"/>
      <c r="P14" s="310">
        <f>IF(O12=0,0,P13/O12)</f>
        <v>0.80426926133075283</v>
      </c>
      <c r="Q14" s="310"/>
      <c r="R14" s="310">
        <f>IF(Q12=0,0,R13/Q12)</f>
        <v>0.96132073094532744</v>
      </c>
      <c r="S14" s="310"/>
      <c r="T14" s="310">
        <f>IF(S12=0,0,T13/S12)</f>
        <v>1</v>
      </c>
      <c r="U14" s="310"/>
      <c r="V14" s="310">
        <f>IF(U12=0,0,V13/U12)</f>
        <v>1</v>
      </c>
      <c r="W14" s="310"/>
      <c r="X14" s="310">
        <f>IF(W12=0,0,X13/W12)</f>
        <v>1</v>
      </c>
      <c r="Y14" s="310"/>
      <c r="Z14" s="310">
        <f>IF(Y12=0,0,Z13/Y12)</f>
        <v>1</v>
      </c>
      <c r="AA14" s="310"/>
      <c r="AB14" s="310">
        <f>IF(AA12=0,0,AB13/AA12)</f>
        <v>0.17818953263305887</v>
      </c>
      <c r="AC14" s="310"/>
      <c r="AD14" s="310">
        <f>IF(AC12=0,0,AD13/AC12)</f>
        <v>8.8497526425360434E-2</v>
      </c>
      <c r="AE14" s="310"/>
      <c r="AF14" s="310">
        <f>IF(AE12=0,0,AF13/AE12)</f>
        <v>0.17818531763721007</v>
      </c>
      <c r="AG14" s="74"/>
      <c r="AH14" s="74"/>
      <c r="AI14" s="74"/>
      <c r="AJ14" s="74"/>
      <c r="AK14" s="74"/>
      <c r="AL14" s="74"/>
      <c r="AM14" s="74"/>
      <c r="AN14" s="74"/>
      <c r="AO14" s="74"/>
      <c r="AP14" s="74"/>
      <c r="AQ14" s="74"/>
      <c r="AR14" s="74"/>
      <c r="AS14" s="74"/>
      <c r="AT14" s="74"/>
      <c r="AU14" s="74"/>
    </row>
    <row r="15" spans="1:47" ht="16.5" customHeight="1" x14ac:dyDescent="0.25">
      <c r="A15" s="312" t="s">
        <v>999</v>
      </c>
      <c r="B15" s="304" t="s">
        <v>842</v>
      </c>
      <c r="C15" s="305">
        <f>'Расчет базового уровня'!D15</f>
        <v>188890.1484508547</v>
      </c>
      <c r="D15" s="306">
        <f>D85</f>
        <v>188890.1484508547</v>
      </c>
      <c r="E15" s="74"/>
      <c r="F15" s="74"/>
      <c r="G15" s="312" t="s">
        <v>999</v>
      </c>
      <c r="H15" s="304" t="s">
        <v>842</v>
      </c>
      <c r="I15" s="306">
        <f>'Расчет базового уровня'!J15</f>
        <v>18949.631249999999</v>
      </c>
      <c r="J15" s="306">
        <f>J85</f>
        <v>18949.631249999999</v>
      </c>
      <c r="K15" s="306">
        <f>'Расчет базового уровня'!M15</f>
        <v>19189.5</v>
      </c>
      <c r="L15" s="306">
        <f>L85</f>
        <v>19189.5</v>
      </c>
      <c r="M15" s="306">
        <f>'Расчет базового уровня'!P15</f>
        <v>15831.337500000001</v>
      </c>
      <c r="N15" s="306">
        <f>N85</f>
        <v>15831.3375</v>
      </c>
      <c r="O15" s="306">
        <f>'Расчет базового уровня'!S15</f>
        <v>19909.106249999997</v>
      </c>
      <c r="P15" s="306">
        <f>P85</f>
        <v>19909.106249999997</v>
      </c>
      <c r="Q15" s="306">
        <f>'Расчет базового уровня'!V15</f>
        <v>12952.912499999999</v>
      </c>
      <c r="R15" s="306">
        <f>R85</f>
        <v>12952.912499999999</v>
      </c>
      <c r="S15" s="306">
        <f>'Расчет базового уровня'!Y15</f>
        <v>13083.75</v>
      </c>
      <c r="T15" s="306">
        <f>T85</f>
        <v>13083.75</v>
      </c>
      <c r="U15" s="306">
        <f>'Расчет базового уровня'!AB15</f>
        <v>13083.75</v>
      </c>
      <c r="V15" s="306">
        <f>V85</f>
        <v>13083.75</v>
      </c>
      <c r="W15" s="306">
        <f>'Расчет базового уровня'!AE15</f>
        <v>13083.75</v>
      </c>
      <c r="X15" s="306">
        <f>X85</f>
        <v>13083.75</v>
      </c>
      <c r="Y15" s="306">
        <f>'Расчет базового уровня'!AH15</f>
        <v>13083.75</v>
      </c>
      <c r="Z15" s="306">
        <f>Z85</f>
        <v>13083.75</v>
      </c>
      <c r="AA15" s="306">
        <f>'Расчет базового уровня'!AK15</f>
        <v>15991.25</v>
      </c>
      <c r="AB15" s="306">
        <f>AB85</f>
        <v>15991.25</v>
      </c>
      <c r="AC15" s="306">
        <f>'Расчет базового уровня'!AN15</f>
        <v>15991.25</v>
      </c>
      <c r="AD15" s="306">
        <f>AD85</f>
        <v>15991.25</v>
      </c>
      <c r="AE15" s="306">
        <f>'Расчет базового уровня'!AQ15</f>
        <v>15751.381249999999</v>
      </c>
      <c r="AF15" s="306">
        <f>AF85</f>
        <v>15751.38125</v>
      </c>
      <c r="AG15" s="74"/>
      <c r="AH15" s="74"/>
      <c r="AI15" s="74"/>
      <c r="AJ15" s="74"/>
      <c r="AK15" s="74"/>
      <c r="AL15" s="74"/>
      <c r="AM15" s="74"/>
      <c r="AN15" s="74"/>
      <c r="AO15" s="74"/>
      <c r="AP15" s="74"/>
      <c r="AQ15" s="74"/>
      <c r="AR15" s="74"/>
      <c r="AS15" s="74"/>
      <c r="AT15" s="74"/>
      <c r="AU15" s="74"/>
    </row>
    <row r="16" spans="1:47" x14ac:dyDescent="0.25">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25">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25">
      <c r="A18" s="303" t="s">
        <v>1188</v>
      </c>
      <c r="B18" s="304" t="s">
        <v>842</v>
      </c>
      <c r="C18" s="305">
        <f>'Расчет базового уровня'!D18</f>
        <v>7800.07</v>
      </c>
      <c r="D18" s="305">
        <f>D100</f>
        <v>8103.1371031477865</v>
      </c>
      <c r="E18" s="74"/>
      <c r="F18" s="74"/>
      <c r="G18" s="303" t="s">
        <v>1188</v>
      </c>
      <c r="H18" s="304" t="s">
        <v>842</v>
      </c>
      <c r="I18" s="306">
        <f>'Расчет базового уровня'!J18</f>
        <v>940.06999999999994</v>
      </c>
      <c r="J18" s="306">
        <f>J100</f>
        <v>710.23782409650516</v>
      </c>
      <c r="K18" s="306">
        <f>'Расчет базового уровня'!M18</f>
        <v>590</v>
      </c>
      <c r="L18" s="306">
        <f>L100</f>
        <v>700.49049314686033</v>
      </c>
      <c r="M18" s="306">
        <f>'Расчет базового уровня'!P18</f>
        <v>588</v>
      </c>
      <c r="N18" s="306">
        <f>N100</f>
        <v>689.82653107466081</v>
      </c>
      <c r="O18" s="306">
        <f>'Расчет базового уровня'!S18</f>
        <v>668</v>
      </c>
      <c r="P18" s="306">
        <f>P100</f>
        <v>657.82334055284923</v>
      </c>
      <c r="Q18" s="306">
        <f>'Расчет базового уровня'!V18</f>
        <v>1104</v>
      </c>
      <c r="R18" s="306">
        <f>R100</f>
        <v>651.30430997271139</v>
      </c>
      <c r="S18" s="306">
        <f>'Расчет базового уровня'!Y18</f>
        <v>472</v>
      </c>
      <c r="T18" s="306">
        <f>T100</f>
        <v>650.00583333333327</v>
      </c>
      <c r="U18" s="306">
        <f>'Расчет базового уровня'!AB18</f>
        <v>490</v>
      </c>
      <c r="V18" s="306">
        <f>V100</f>
        <v>650.00583333333327</v>
      </c>
      <c r="W18" s="306">
        <f>'Расчет базового уровня'!AE18</f>
        <v>655</v>
      </c>
      <c r="X18" s="306">
        <f>X100</f>
        <v>650.00583333333327</v>
      </c>
      <c r="Y18" s="306">
        <f>'Расчет базового уровня'!AH18</f>
        <v>567</v>
      </c>
      <c r="Z18" s="306">
        <f>Z100</f>
        <v>650.00583333333327</v>
      </c>
      <c r="AA18" s="306">
        <f>'Расчет базового уровня'!AK18</f>
        <v>687</v>
      </c>
      <c r="AB18" s="306">
        <f>AB100</f>
        <v>680.91906302970881</v>
      </c>
      <c r="AC18" s="306">
        <f>'Расчет базового уровня'!AN18</f>
        <v>345</v>
      </c>
      <c r="AD18" s="306">
        <f>AD100</f>
        <v>704.77101712749209</v>
      </c>
      <c r="AE18" s="306">
        <f>'Расчет базового уровня'!AQ18</f>
        <v>694</v>
      </c>
      <c r="AF18" s="306">
        <f>AF100</f>
        <v>701.92900718644296</v>
      </c>
      <c r="AG18" s="74"/>
      <c r="AH18" s="74"/>
      <c r="AI18" s="74"/>
      <c r="AJ18" s="74"/>
      <c r="AK18" s="74"/>
      <c r="AL18" s="74"/>
      <c r="AM18" s="74"/>
      <c r="AN18" s="74"/>
      <c r="AO18" s="74"/>
      <c r="AP18" s="74"/>
      <c r="AQ18" s="74"/>
      <c r="AR18" s="74"/>
      <c r="AS18" s="74"/>
      <c r="AT18" s="74"/>
      <c r="AU18" s="74"/>
    </row>
    <row r="19" spans="1:47" ht="15.75" customHeight="1" x14ac:dyDescent="0.25">
      <c r="A19" s="307" t="s">
        <v>1339</v>
      </c>
      <c r="B19" s="304" t="s">
        <v>842</v>
      </c>
      <c r="C19" s="308"/>
      <c r="D19" s="308">
        <f>C18-D18</f>
        <v>-303.06710314778684</v>
      </c>
      <c r="E19" s="74"/>
      <c r="F19" s="74"/>
      <c r="G19" s="307" t="s">
        <v>1339</v>
      </c>
      <c r="H19" s="304" t="s">
        <v>842</v>
      </c>
      <c r="I19" s="308"/>
      <c r="J19" s="308">
        <f>I18-J18</f>
        <v>229.83217590349477</v>
      </c>
      <c r="K19" s="308"/>
      <c r="L19" s="308">
        <f>K18-L18</f>
        <v>-110.49049314686033</v>
      </c>
      <c r="M19" s="308"/>
      <c r="N19" s="308">
        <f>M18-N18</f>
        <v>-101.82653107466081</v>
      </c>
      <c r="O19" s="308"/>
      <c r="P19" s="308">
        <f>O18-P18</f>
        <v>10.176659447150769</v>
      </c>
      <c r="Q19" s="308"/>
      <c r="R19" s="308">
        <f>Q18-R18</f>
        <v>452.69569002728861</v>
      </c>
      <c r="S19" s="308"/>
      <c r="T19" s="308">
        <f>S18-T18</f>
        <v>-178.00583333333327</v>
      </c>
      <c r="U19" s="308"/>
      <c r="V19" s="308">
        <f>U18-V18</f>
        <v>-160.00583333333327</v>
      </c>
      <c r="W19" s="308"/>
      <c r="X19" s="308">
        <f>W18-X18</f>
        <v>4.9941666666667288</v>
      </c>
      <c r="Y19" s="308"/>
      <c r="Z19" s="308">
        <f>Y18-Z18</f>
        <v>-83.005833333333271</v>
      </c>
      <c r="AA19" s="308"/>
      <c r="AB19" s="308">
        <f>AA18-AB18</f>
        <v>6.0809369702911908</v>
      </c>
      <c r="AC19" s="308"/>
      <c r="AD19" s="308">
        <f>AC18-AD18</f>
        <v>-359.77101712749209</v>
      </c>
      <c r="AE19" s="308"/>
      <c r="AF19" s="308">
        <f>AE18-AF18</f>
        <v>-7.9290071864429592</v>
      </c>
      <c r="AG19" s="74"/>
      <c r="AH19" s="74"/>
      <c r="AI19" s="74"/>
      <c r="AJ19" s="74"/>
      <c r="AK19" s="74"/>
      <c r="AL19" s="74"/>
      <c r="AM19" s="74"/>
      <c r="AN19" s="74"/>
      <c r="AO19" s="74"/>
      <c r="AP19" s="74"/>
      <c r="AQ19" s="74"/>
      <c r="AR19" s="74"/>
      <c r="AS19" s="74"/>
      <c r="AT19" s="74"/>
      <c r="AU19" s="74"/>
    </row>
    <row r="20" spans="1:47" ht="15" customHeight="1" x14ac:dyDescent="0.25">
      <c r="A20" s="307" t="s">
        <v>874</v>
      </c>
      <c r="B20" s="309" t="s">
        <v>1181</v>
      </c>
      <c r="C20" s="310"/>
      <c r="D20" s="310">
        <f>D19/C18</f>
        <v>-3.8854408120412617E-2</v>
      </c>
      <c r="E20" s="74"/>
      <c r="F20" s="74"/>
      <c r="G20" s="307" t="s">
        <v>874</v>
      </c>
      <c r="H20" s="309" t="s">
        <v>1181</v>
      </c>
      <c r="I20" s="310"/>
      <c r="J20" s="310">
        <f>IF(I18=0,0,J19/I18)</f>
        <v>0.24448410852755093</v>
      </c>
      <c r="K20" s="310"/>
      <c r="L20" s="310">
        <f>IF(K18=0,0,L19/K18)</f>
        <v>-0.18727202228281412</v>
      </c>
      <c r="M20" s="310"/>
      <c r="N20" s="310">
        <f>IF(M18=0,0,N19/M18)</f>
        <v>-0.17317437257595375</v>
      </c>
      <c r="O20" s="310"/>
      <c r="P20" s="310">
        <f>IF(O18=0,0,P19/O18)</f>
        <v>1.5234520130465223E-2</v>
      </c>
      <c r="Q20" s="310"/>
      <c r="R20" s="310">
        <f>IF(Q18=0,0,R19/Q18)</f>
        <v>0.41005044386529765</v>
      </c>
      <c r="S20" s="310"/>
      <c r="T20" s="310">
        <f>IF(S18=0,0,T19/S18)</f>
        <v>-0.37713100282485862</v>
      </c>
      <c r="U20" s="310"/>
      <c r="V20" s="310">
        <f>IF(U18=0,0,V19/U18)</f>
        <v>-0.32654251700680259</v>
      </c>
      <c r="W20" s="310"/>
      <c r="X20" s="310">
        <f>IF(W18=0,0,X19/W18)</f>
        <v>7.6246819338423337E-3</v>
      </c>
      <c r="Y20" s="310"/>
      <c r="Z20" s="310">
        <f>IF(Y18=0,0,Z19/Y18)</f>
        <v>-0.14639476778365657</v>
      </c>
      <c r="AA20" s="310"/>
      <c r="AB20" s="310">
        <f>IF(AA18=0,0,AB19/AA18)</f>
        <v>8.8514366379784434E-3</v>
      </c>
      <c r="AC20" s="310"/>
      <c r="AD20" s="310">
        <f>IF(AC18=0,0,AD19/AC18)</f>
        <v>-1.0428145423985278</v>
      </c>
      <c r="AE20" s="310"/>
      <c r="AF20" s="310">
        <f>IF(AE18=0,0,AF19/AE18)</f>
        <v>-1.1425082401214639E-2</v>
      </c>
      <c r="AG20" s="74"/>
      <c r="AH20" s="74"/>
      <c r="AI20" s="74"/>
      <c r="AJ20" s="74"/>
      <c r="AK20" s="74"/>
      <c r="AL20" s="74"/>
      <c r="AM20" s="74"/>
      <c r="AN20" s="74"/>
      <c r="AO20" s="74"/>
      <c r="AP20" s="74"/>
      <c r="AQ20" s="74"/>
      <c r="AR20" s="74"/>
      <c r="AS20" s="74"/>
      <c r="AT20" s="74"/>
      <c r="AU20" s="74"/>
    </row>
    <row r="21" spans="1:47" ht="5.25" customHeight="1" x14ac:dyDescent="0.25">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25">
      <c r="A23" s="315" t="s">
        <v>1189</v>
      </c>
      <c r="B23" s="304" t="s">
        <v>1190</v>
      </c>
      <c r="C23" s="305">
        <f>'Расчет базового уровня'!D23</f>
        <v>291.99690986467238</v>
      </c>
      <c r="D23" s="305">
        <f>D6/('Ввод исходных данных'!$G$45+'Ввод исходных данных'!$D$23)</f>
        <v>235.06517053907368</v>
      </c>
      <c r="E23" s="74"/>
      <c r="F23" s="74"/>
      <c r="G23" s="315" t="s">
        <v>1189</v>
      </c>
      <c r="H23" s="304" t="s">
        <v>1190</v>
      </c>
      <c r="I23" s="306">
        <f>'Расчет базового уровня'!J23</f>
        <v>0</v>
      </c>
      <c r="J23" s="306">
        <f>J6/'Ввод исходных данных'!$G$44</f>
        <v>29.101235295832975</v>
      </c>
      <c r="K23" s="306">
        <f>'Расчет базового уровня'!M23</f>
        <v>0</v>
      </c>
      <c r="L23" s="306">
        <f>L6/'Ввод исходных данных'!$G$44</f>
        <v>25.374413263679955</v>
      </c>
      <c r="M23" s="306">
        <f>'Расчет базового уровня'!P23</f>
        <v>0</v>
      </c>
      <c r="N23" s="306">
        <f>N6/'Ввод исходных данных'!$G$44</f>
        <v>20.254327727270041</v>
      </c>
      <c r="O23" s="306">
        <f>'Расчет базового уровня'!S23</f>
        <v>0</v>
      </c>
      <c r="P23" s="306">
        <f>P6/'Ввод исходных данных'!$G$44</f>
        <v>8.9657795470936552</v>
      </c>
      <c r="Q23" s="306">
        <f>'Расчет базового уровня'!V23</f>
        <v>0</v>
      </c>
      <c r="R23" s="306">
        <f>R6/'Ввод исходных данных'!$G$44</f>
        <v>4.4235577236421353</v>
      </c>
      <c r="S23" s="306">
        <f>'Расчет базового уровня'!Y23</f>
        <v>0</v>
      </c>
      <c r="T23" s="306">
        <f>T6/'Ввод исходных данных'!$G$44</f>
        <v>3.9555748367895545</v>
      </c>
      <c r="U23" s="306">
        <f>'Расчет базового уровня'!AB23</f>
        <v>0</v>
      </c>
      <c r="V23" s="306">
        <f>V6/'Ввод исходных данных'!$G$44</f>
        <v>3.9555748367895545</v>
      </c>
      <c r="W23" s="306">
        <f>'Расчет базового уровня'!AE23</f>
        <v>0</v>
      </c>
      <c r="X23" s="306">
        <f>X6/'Ввод исходных данных'!$G$44</f>
        <v>3.9555748367895545</v>
      </c>
      <c r="Y23" s="306">
        <f>'Расчет базового уровня'!AH23</f>
        <v>0</v>
      </c>
      <c r="Z23" s="306">
        <f>Z6/'Ввод исходных данных'!$G$44</f>
        <v>3.9555748367895545</v>
      </c>
      <c r="AA23" s="306">
        <f>'Расчет базового уровня'!AK23</f>
        <v>0</v>
      </c>
      <c r="AB23" s="306">
        <f>AB6/'Ввод исходных данных'!$G$44</f>
        <v>16.831545111482288</v>
      </c>
      <c r="AC23" s="306">
        <f>'Расчет базового уровня'!AN23</f>
        <v>0</v>
      </c>
      <c r="AD23" s="306">
        <f>AD6/'Ввод исходных данных'!$G$44</f>
        <v>26.120225206072995</v>
      </c>
      <c r="AE23" s="306">
        <f>'Расчет базового уровня'!AQ23</f>
        <v>0</v>
      </c>
      <c r="AF23" s="306">
        <f>AF6/'Ввод исходных данных'!$G$44</f>
        <v>24.94437303149197</v>
      </c>
      <c r="AG23" s="74"/>
      <c r="AH23" s="74"/>
      <c r="AI23" s="74"/>
      <c r="AJ23" s="74"/>
      <c r="AK23" s="74"/>
      <c r="AL23" s="74"/>
      <c r="AM23" s="74"/>
      <c r="AN23" s="74"/>
      <c r="AO23" s="74"/>
      <c r="AP23" s="74"/>
      <c r="AQ23" s="74"/>
      <c r="AR23" s="74"/>
      <c r="AS23" s="74"/>
      <c r="AT23" s="74"/>
      <c r="AU23" s="74"/>
    </row>
    <row r="24" spans="1:47" x14ac:dyDescent="0.25">
      <c r="A24" s="307" t="s">
        <v>874</v>
      </c>
      <c r="B24" s="309" t="s">
        <v>1191</v>
      </c>
      <c r="C24" s="308"/>
      <c r="D24" s="316">
        <f>D7*1000/('Ввод исходных данных'!$G$45+'Ввод исходных данных'!$D$23)</f>
        <v>56931.739325598683</v>
      </c>
      <c r="E24" s="74"/>
      <c r="F24" s="74"/>
      <c r="G24" s="307" t="s">
        <v>874</v>
      </c>
      <c r="H24" s="309" t="s">
        <v>1191</v>
      </c>
      <c r="I24" s="95"/>
      <c r="J24" s="286">
        <f>0.123*J23</f>
        <v>3.5794519413874557</v>
      </c>
      <c r="K24" s="95"/>
      <c r="L24" s="286">
        <f>0.123*L23</f>
        <v>3.1210528314326345</v>
      </c>
      <c r="M24" s="95"/>
      <c r="N24" s="286">
        <f>0.123*N23</f>
        <v>2.4912823104542152</v>
      </c>
      <c r="O24" s="95"/>
      <c r="P24" s="286">
        <f>0.123*P23</f>
        <v>1.1027908842925196</v>
      </c>
      <c r="Q24" s="95"/>
      <c r="R24" s="286">
        <f>0.123*R23</f>
        <v>0.54409760000798268</v>
      </c>
      <c r="S24" s="95"/>
      <c r="T24" s="286">
        <f>0.123*T23</f>
        <v>0.48653570492511516</v>
      </c>
      <c r="U24" s="95"/>
      <c r="V24" s="286">
        <f>0.123*V23</f>
        <v>0.48653570492511516</v>
      </c>
      <c r="W24" s="95"/>
      <c r="X24" s="286">
        <f>0.123*X23</f>
        <v>0.48653570492511516</v>
      </c>
      <c r="Y24" s="95"/>
      <c r="Z24" s="286">
        <f>0.123*Z23</f>
        <v>0.48653570492511516</v>
      </c>
      <c r="AA24" s="95"/>
      <c r="AB24" s="286">
        <f>0.123*AB23</f>
        <v>2.0702800487123216</v>
      </c>
      <c r="AC24" s="95"/>
      <c r="AD24" s="286">
        <f>0.123*AD23</f>
        <v>3.2127877003469782</v>
      </c>
      <c r="AE24" s="95"/>
      <c r="AF24" s="286">
        <f>0.123*AF23</f>
        <v>3.0681578828735123</v>
      </c>
      <c r="AG24" s="74"/>
      <c r="AH24" s="74"/>
      <c r="AI24" s="74"/>
      <c r="AJ24" s="74"/>
      <c r="AK24" s="74"/>
      <c r="AL24" s="74"/>
      <c r="AM24" s="74"/>
      <c r="AN24" s="74"/>
      <c r="AO24" s="74"/>
      <c r="AP24" s="74"/>
      <c r="AQ24" s="74"/>
      <c r="AR24" s="74"/>
      <c r="AS24" s="74"/>
      <c r="AT24" s="74"/>
      <c r="AU24" s="74"/>
    </row>
    <row r="25" spans="1:4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25">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17">
        <f>D12</f>
        <v>409474.85443680757</v>
      </c>
      <c r="C27" s="317">
        <f>D18</f>
        <v>8103.1371031477865</v>
      </c>
      <c r="D27" s="317">
        <f>D15</f>
        <v>188890.1484508547</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17">
        <f>C12</f>
        <v>556661.80900000001</v>
      </c>
      <c r="C28" s="317">
        <f>C18</f>
        <v>7800.07</v>
      </c>
      <c r="D28" s="317">
        <f>C15</f>
        <v>188890.1484508547</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
      <c r="A32" s="1798" t="s">
        <v>1192</v>
      </c>
      <c r="B32" s="1798"/>
      <c r="C32" s="1798"/>
      <c r="D32" s="1798"/>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25">
      <c r="A33" s="1768" t="s">
        <v>834</v>
      </c>
      <c r="B33" s="1778" t="s">
        <v>1174</v>
      </c>
      <c r="C33" s="1774" t="s">
        <v>1338</v>
      </c>
      <c r="D33" s="1794" t="s">
        <v>1337</v>
      </c>
      <c r="E33" s="74"/>
      <c r="F33" s="74"/>
      <c r="G33" s="1770" t="s">
        <v>834</v>
      </c>
      <c r="H33" s="1764" t="s">
        <v>1174</v>
      </c>
      <c r="I33" s="1805" t="s">
        <v>488</v>
      </c>
      <c r="J33" s="1806"/>
      <c r="K33" s="1805" t="s">
        <v>489</v>
      </c>
      <c r="L33" s="1806"/>
      <c r="M33" s="1805" t="s">
        <v>490</v>
      </c>
      <c r="N33" s="1806"/>
      <c r="O33" s="1805" t="s">
        <v>491</v>
      </c>
      <c r="P33" s="1806"/>
      <c r="Q33" s="1805" t="s">
        <v>805</v>
      </c>
      <c r="R33" s="1806"/>
      <c r="S33" s="1805" t="s">
        <v>806</v>
      </c>
      <c r="T33" s="1806"/>
      <c r="U33" s="1805" t="s">
        <v>807</v>
      </c>
      <c r="V33" s="1806"/>
      <c r="W33" s="1805" t="s">
        <v>808</v>
      </c>
      <c r="X33" s="1806"/>
      <c r="Y33" s="1805" t="s">
        <v>809</v>
      </c>
      <c r="Z33" s="1806"/>
      <c r="AA33" s="1805" t="s">
        <v>482</v>
      </c>
      <c r="AB33" s="1806"/>
      <c r="AC33" s="1805" t="s">
        <v>486</v>
      </c>
      <c r="AD33" s="1806"/>
      <c r="AE33" s="1805" t="s">
        <v>487</v>
      </c>
      <c r="AF33" s="1806"/>
      <c r="AG33" s="74"/>
      <c r="AH33" s="74"/>
      <c r="AI33" s="74"/>
      <c r="AJ33" s="74"/>
      <c r="AK33" s="74"/>
      <c r="AL33" s="74"/>
      <c r="AM33" s="74"/>
      <c r="AN33" s="74"/>
      <c r="AO33" s="74"/>
      <c r="AP33" s="74"/>
      <c r="AQ33" s="74"/>
      <c r="AR33" s="74"/>
      <c r="AS33" s="74"/>
      <c r="AT33" s="74"/>
      <c r="AU33" s="74"/>
    </row>
    <row r="34" spans="1:55" ht="74.45" customHeight="1" thickBot="1" x14ac:dyDescent="0.3">
      <c r="A34" s="1769"/>
      <c r="B34" s="1779"/>
      <c r="C34" s="1811"/>
      <c r="D34" s="1810"/>
      <c r="E34" s="74"/>
      <c r="F34" s="74"/>
      <c r="G34" s="1771"/>
      <c r="H34" s="1765"/>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25">
      <c r="A35" s="321" t="s">
        <v>1194</v>
      </c>
      <c r="B35" s="322" t="s">
        <v>842</v>
      </c>
      <c r="C35" s="323">
        <f>'Расчет базового уровня'!D35</f>
        <v>556661.80900000001</v>
      </c>
      <c r="D35" s="324">
        <f>D38+D62+D65+D68-D71</f>
        <v>409474.85443680757</v>
      </c>
      <c r="E35" s="74"/>
      <c r="F35" s="74"/>
      <c r="G35" s="325" t="s">
        <v>1192</v>
      </c>
      <c r="H35" s="326" t="s">
        <v>842</v>
      </c>
      <c r="I35" s="323">
        <f>'Расчет базового уровня'!J35</f>
        <v>91112.909</v>
      </c>
      <c r="J35" s="327">
        <f>J38+J62+J65+J68-J71</f>
        <v>81379.619873035583</v>
      </c>
      <c r="K35" s="323">
        <f>'Расчет базового уровня'!M35</f>
        <v>89551</v>
      </c>
      <c r="L35" s="328">
        <f>L38+L62+L65+L68-L71</f>
        <v>68209.972358349944</v>
      </c>
      <c r="M35" s="323">
        <f>'Расчет базового уровня'!P35</f>
        <v>58150</v>
      </c>
      <c r="N35" s="327">
        <f>N38+N62+N65+N68-N71</f>
        <v>53801.861838006924</v>
      </c>
      <c r="O35" s="323">
        <f>'Расчет базового уровня'!S35</f>
        <v>53963.199999999997</v>
      </c>
      <c r="P35" s="328">
        <f>P38+P62+P65+P68-P71</f>
        <v>10562.256996956323</v>
      </c>
      <c r="Q35" s="323">
        <f>'Расчет базового уровня'!V35</f>
        <v>45357</v>
      </c>
      <c r="R35" s="327">
        <f>R38+R62+R65+R68-R71</f>
        <v>1754.3756065127836</v>
      </c>
      <c r="S35" s="323">
        <f>'Расчет базового уровня'!Y35</f>
        <v>-13083.75</v>
      </c>
      <c r="T35" s="327">
        <f>T38+T62+T65+T68-T71</f>
        <v>0</v>
      </c>
      <c r="U35" s="323">
        <f>'Расчет базового уровня'!AB35</f>
        <v>-13083.75</v>
      </c>
      <c r="V35" s="327">
        <f>V38+V62+V65+V68-V71</f>
        <v>0</v>
      </c>
      <c r="W35" s="323">
        <f>'Расчет базового уровня'!AE35</f>
        <v>-13083.75</v>
      </c>
      <c r="X35" s="327">
        <f>X38+X62+X65+X68-X71</f>
        <v>0</v>
      </c>
      <c r="Y35" s="323">
        <f>'Расчет базового уровня'!AH35</f>
        <v>1163</v>
      </c>
      <c r="Z35" s="327">
        <f>Z38+Z62+Z65+Z68-Z71</f>
        <v>0</v>
      </c>
      <c r="AA35" s="323">
        <f>'Расчет базового уровня'!AK35</f>
        <v>50823.100000000006</v>
      </c>
      <c r="AB35" s="327">
        <f>AB38+AB62+AB65+AB68-AB71</f>
        <v>41766.955564036791</v>
      </c>
      <c r="AC35" s="323">
        <f>'Расчет базового уровня'!AN35</f>
        <v>81177.399999999994</v>
      </c>
      <c r="AD35" s="327">
        <f>AD38+AD62+AD65+AD68-AD71</f>
        <v>73993.400898357941</v>
      </c>
      <c r="AE35" s="323">
        <f>'Расчет базового уровня'!AQ35</f>
        <v>85364.200000000012</v>
      </c>
      <c r="AF35" s="327">
        <f>AF38+AF62+AF65+AF68-AF71</f>
        <v>70153.552908153681</v>
      </c>
      <c r="AG35" s="74"/>
      <c r="AH35" s="74"/>
      <c r="AI35" s="74"/>
      <c r="AJ35" s="74"/>
      <c r="AK35" s="74"/>
      <c r="AL35" s="74"/>
      <c r="AM35" s="74"/>
      <c r="AN35" s="74"/>
      <c r="AO35" s="74"/>
      <c r="AP35" s="74"/>
      <c r="AQ35" s="74"/>
      <c r="AR35" s="74"/>
      <c r="AS35" s="74"/>
      <c r="AT35" s="74"/>
      <c r="AU35" s="74"/>
    </row>
    <row r="36" spans="1:55" ht="11.25" customHeight="1" x14ac:dyDescent="0.25">
      <c r="A36" s="307" t="s">
        <v>1339</v>
      </c>
      <c r="B36" s="304" t="s">
        <v>842</v>
      </c>
      <c r="C36" s="308"/>
      <c r="D36" s="308">
        <f>C35-D35</f>
        <v>147186.95456319244</v>
      </c>
      <c r="E36" s="74"/>
      <c r="F36" s="74"/>
      <c r="G36" s="307" t="s">
        <v>1339</v>
      </c>
      <c r="H36" s="304" t="s">
        <v>842</v>
      </c>
      <c r="I36" s="308"/>
      <c r="J36" s="308">
        <f>I35-J35</f>
        <v>9733.2891269644169</v>
      </c>
      <c r="K36" s="308"/>
      <c r="L36" s="308">
        <f>K35-L35</f>
        <v>21341.027641650056</v>
      </c>
      <c r="M36" s="308"/>
      <c r="N36" s="308">
        <f>M35-N35</f>
        <v>4348.1381619930762</v>
      </c>
      <c r="O36" s="308"/>
      <c r="P36" s="308">
        <f>O35-P35</f>
        <v>43400.943003043678</v>
      </c>
      <c r="Q36" s="308"/>
      <c r="R36" s="308">
        <f>Q35-R35</f>
        <v>43602.624393487218</v>
      </c>
      <c r="S36" s="308"/>
      <c r="T36" s="308">
        <f>S35-T35</f>
        <v>-13083.75</v>
      </c>
      <c r="U36" s="308"/>
      <c r="V36" s="308">
        <f>U35-V35</f>
        <v>-13083.75</v>
      </c>
      <c r="W36" s="308"/>
      <c r="X36" s="308">
        <f>W35-X35</f>
        <v>-13083.75</v>
      </c>
      <c r="Y36" s="308"/>
      <c r="Z36" s="308">
        <f>Y35-Z35</f>
        <v>1163</v>
      </c>
      <c r="AA36" s="308"/>
      <c r="AB36" s="308">
        <f>AA35-AB35</f>
        <v>9056.1444359632151</v>
      </c>
      <c r="AC36" s="308"/>
      <c r="AD36" s="308">
        <f>AC35-AD35</f>
        <v>7183.9991016420536</v>
      </c>
      <c r="AE36" s="308"/>
      <c r="AF36" s="308">
        <f>AE35-AF35</f>
        <v>15210.647091846331</v>
      </c>
      <c r="AG36" s="74"/>
      <c r="AH36" s="74"/>
      <c r="AI36" s="74"/>
      <c r="AJ36" s="74"/>
      <c r="AK36" s="74"/>
      <c r="AL36" s="74"/>
      <c r="AM36" s="74"/>
      <c r="AN36" s="74"/>
      <c r="AO36" s="74"/>
      <c r="AP36" s="74"/>
      <c r="AQ36" s="74"/>
      <c r="AR36" s="74"/>
      <c r="AS36" s="74"/>
      <c r="AT36" s="74"/>
      <c r="AU36" s="74"/>
    </row>
    <row r="37" spans="1:55" ht="15.75" thickBot="1" x14ac:dyDescent="0.3">
      <c r="A37" s="307" t="s">
        <v>874</v>
      </c>
      <c r="B37" s="309" t="s">
        <v>1181</v>
      </c>
      <c r="C37" s="310"/>
      <c r="D37" s="310">
        <f>IF(C35=0,0,D36/C35)</f>
        <v>0.26441001014170967</v>
      </c>
      <c r="E37" s="74"/>
      <c r="F37" s="74"/>
      <c r="G37" s="307" t="s">
        <v>874</v>
      </c>
      <c r="H37" s="309" t="s">
        <v>1181</v>
      </c>
      <c r="I37" s="310"/>
      <c r="J37" s="310">
        <f>IF(I35=0,0,J36/I35)</f>
        <v>0.10682667509786585</v>
      </c>
      <c r="K37" s="310"/>
      <c r="L37" s="310">
        <f>IF(K35=0,0,L36/K35)</f>
        <v>0.23831143863999349</v>
      </c>
      <c r="M37" s="310"/>
      <c r="N37" s="310">
        <f>IF(M35=0,0,N36/M35)</f>
        <v>7.4774516973225735E-2</v>
      </c>
      <c r="O37" s="310"/>
      <c r="P37" s="310">
        <f>IF(O35=0,0,P36/O35)</f>
        <v>0.80426926133075283</v>
      </c>
      <c r="Q37" s="310"/>
      <c r="R37" s="310">
        <f>IF(Q35=0,0,R36/Q35)</f>
        <v>0.96132073094532744</v>
      </c>
      <c r="S37" s="310"/>
      <c r="T37" s="310">
        <f>IF(S35=0,0,T36/S35)</f>
        <v>1</v>
      </c>
      <c r="U37" s="310"/>
      <c r="V37" s="310">
        <f>IF(U35=0,0,V36/U35)</f>
        <v>1</v>
      </c>
      <c r="W37" s="310"/>
      <c r="X37" s="310">
        <f>IF(W35=0,0,X36/W35)</f>
        <v>1</v>
      </c>
      <c r="Y37" s="310"/>
      <c r="Z37" s="310">
        <f>IF(Y35=0,0,Z36/Y35)</f>
        <v>1</v>
      </c>
      <c r="AA37" s="310"/>
      <c r="AB37" s="310">
        <f>IF(AA35=0,0,AB36/AA35)</f>
        <v>0.17818953263305887</v>
      </c>
      <c r="AC37" s="310"/>
      <c r="AD37" s="310">
        <f>IF(AC35=0,0,AD36/AC35)</f>
        <v>8.8497526425360434E-2</v>
      </c>
      <c r="AE37" s="310"/>
      <c r="AF37" s="310">
        <f>IF(AE35=0,0,AF36/AE35)</f>
        <v>0.17818531763721007</v>
      </c>
      <c r="AG37" s="74"/>
      <c r="AH37" s="74"/>
      <c r="AI37" s="74"/>
      <c r="AJ37" s="74"/>
      <c r="AK37" s="74"/>
      <c r="AL37" s="74"/>
      <c r="AM37" s="74"/>
      <c r="AN37" s="74"/>
      <c r="AO37" s="74"/>
      <c r="AP37" s="74"/>
      <c r="AQ37" s="74"/>
      <c r="AR37" s="74"/>
      <c r="AS37" s="74"/>
      <c r="AT37" s="74"/>
      <c r="AU37" s="74"/>
    </row>
    <row r="38" spans="1:55" ht="29.25" customHeight="1" x14ac:dyDescent="0.25">
      <c r="A38" s="329" t="s">
        <v>1195</v>
      </c>
      <c r="B38" s="322" t="s">
        <v>842</v>
      </c>
      <c r="C38" s="323">
        <f>'Расчет базового уровня'!D38</f>
        <v>383735.90896517504</v>
      </c>
      <c r="D38" s="330">
        <f>D41+D44+D47+D50+D53+D56+D59</f>
        <v>310168.14176365279</v>
      </c>
      <c r="E38" s="74"/>
      <c r="F38" s="74"/>
      <c r="G38" s="325" t="s">
        <v>1196</v>
      </c>
      <c r="H38" s="331" t="s">
        <v>842</v>
      </c>
      <c r="I38" s="323">
        <f>'Расчет базового уровня'!J38</f>
        <v>62709.116141307801</v>
      </c>
      <c r="J38" s="330">
        <f>J41+J44+J47+J50+J53+J56+J59</f>
        <v>58693.906509435197</v>
      </c>
      <c r="K38" s="323">
        <f>'Расчет базового уровня'!M38</f>
        <v>60402.978539470234</v>
      </c>
      <c r="L38" s="330">
        <f>L41+L44+L47+L50+L53+L56+L59</f>
        <v>49604.078079504892</v>
      </c>
      <c r="M38" s="323">
        <f>'Расчет базового уровня'!P38</f>
        <v>43184.907499707202</v>
      </c>
      <c r="N38" s="330">
        <f>N41+N44+N47+N50+N53+N56+N59</f>
        <v>41867.720753590998</v>
      </c>
      <c r="O38" s="323">
        <f>'Расчет базового уровня'!S38</f>
        <v>37659.334394785146</v>
      </c>
      <c r="P38" s="330">
        <f>P41+P44+P47+P50+P53+P56+P59</f>
        <v>13760.869450861013</v>
      </c>
      <c r="Q38" s="323">
        <f>'Расчет базового уровня'!V38</f>
        <v>11329.725447240295</v>
      </c>
      <c r="R38" s="330">
        <f>R41+R44+R47+R50+R53+R56+R59</f>
        <v>7561.8094243248033</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705.78164373130005</v>
      </c>
      <c r="Z38" s="330">
        <f>Z41+Z44+Z47+Z50+Z53+Z56+Z59</f>
        <v>0</v>
      </c>
      <c r="AA38" s="323">
        <f>'Расчет базового уровня'!AK38</f>
        <v>36178.923280532355</v>
      </c>
      <c r="AB38" s="330">
        <f>AB41+AB44+AB47+AB50+AB53+AB56+AB59</f>
        <v>33419.25438066246</v>
      </c>
      <c r="AC38" s="323">
        <f>'Расчет базового уровня'!AN38</f>
        <v>54928.258140915583</v>
      </c>
      <c r="AD38" s="330">
        <f>AD41+AD44+AD47+AD50+AD53+AD56+AD59</f>
        <v>53721.320940908729</v>
      </c>
      <c r="AE38" s="323">
        <f>'Расчет базового уровня'!AQ38</f>
        <v>59079.363049431944</v>
      </c>
      <c r="AF38" s="330">
        <f>AF41+AF44+AF47+AF50+AF53+AF56+AF59</f>
        <v>51539.182224364697</v>
      </c>
      <c r="AG38" s="74"/>
      <c r="AH38" s="74"/>
      <c r="AI38" s="74"/>
      <c r="AJ38" s="74"/>
      <c r="AK38" s="74"/>
      <c r="AL38" s="74"/>
      <c r="AM38" s="74"/>
      <c r="AN38" s="74"/>
      <c r="AO38" s="74"/>
      <c r="AP38" s="74"/>
      <c r="AQ38" s="74"/>
      <c r="AR38" s="74"/>
      <c r="AS38" s="74"/>
      <c r="AT38" s="74"/>
      <c r="AU38" s="74"/>
    </row>
    <row r="39" spans="1:55" x14ac:dyDescent="0.25">
      <c r="A39" s="307" t="s">
        <v>1339</v>
      </c>
      <c r="B39" s="304" t="s">
        <v>842</v>
      </c>
      <c r="C39" s="308"/>
      <c r="D39" s="308">
        <f>C38-D38</f>
        <v>73567.767201522249</v>
      </c>
      <c r="E39" s="74"/>
      <c r="F39" s="74"/>
      <c r="G39" s="307" t="s">
        <v>1339</v>
      </c>
      <c r="H39" s="304" t="s">
        <v>842</v>
      </c>
      <c r="I39" s="308"/>
      <c r="J39" s="308">
        <f>I38-J38</f>
        <v>4015.2096318726035</v>
      </c>
      <c r="K39" s="308"/>
      <c r="L39" s="308">
        <f>K38-L38</f>
        <v>10798.900459965342</v>
      </c>
      <c r="M39" s="308"/>
      <c r="N39" s="308">
        <f>M38-N38</f>
        <v>1317.1867461162037</v>
      </c>
      <c r="O39" s="308"/>
      <c r="P39" s="308">
        <f>O38-P38</f>
        <v>23898.464943924133</v>
      </c>
      <c r="Q39" s="308"/>
      <c r="R39" s="308">
        <f>Q38-R38</f>
        <v>3767.9160229154913</v>
      </c>
      <c r="S39" s="308"/>
      <c r="T39" s="308">
        <f>S38-T38</f>
        <v>0</v>
      </c>
      <c r="U39" s="308"/>
      <c r="V39" s="308">
        <f>U38-V38</f>
        <v>0</v>
      </c>
      <c r="W39" s="308"/>
      <c r="X39" s="308">
        <f>W38-X38</f>
        <v>0</v>
      </c>
      <c r="Y39" s="308"/>
      <c r="Z39" s="308">
        <f>Y38-Z38</f>
        <v>705.78164373130005</v>
      </c>
      <c r="AA39" s="308"/>
      <c r="AB39" s="308">
        <f>AA38-AB38</f>
        <v>2759.6688998698955</v>
      </c>
      <c r="AC39" s="308"/>
      <c r="AD39" s="308">
        <f>AC38-AD38</f>
        <v>1206.9372000068543</v>
      </c>
      <c r="AE39" s="308"/>
      <c r="AF39" s="308">
        <f>AE38-AF38</f>
        <v>7540.1808250672475</v>
      </c>
      <c r="AG39" s="74"/>
      <c r="AH39" s="74"/>
      <c r="AI39" s="74"/>
      <c r="AJ39" s="74"/>
      <c r="AK39" s="74"/>
      <c r="AL39" s="74"/>
      <c r="AM39" s="74"/>
      <c r="AN39" s="74"/>
      <c r="AO39" s="74"/>
      <c r="AP39" s="74"/>
      <c r="AQ39" s="74"/>
      <c r="AR39" s="74"/>
      <c r="AS39" s="74"/>
      <c r="AT39" s="74"/>
      <c r="AU39" s="74"/>
    </row>
    <row r="40" spans="1:55" ht="15.75" thickBot="1" x14ac:dyDescent="0.3">
      <c r="A40" s="307" t="s">
        <v>874</v>
      </c>
      <c r="B40" s="309" t="s">
        <v>1181</v>
      </c>
      <c r="C40" s="310"/>
      <c r="D40" s="310">
        <f>IF(C38=0,0,D39/C38)</f>
        <v>0.19171457630825658</v>
      </c>
      <c r="E40" s="74"/>
      <c r="F40" s="74"/>
      <c r="G40" s="307" t="s">
        <v>874</v>
      </c>
      <c r="H40" s="309" t="s">
        <v>1181</v>
      </c>
      <c r="I40" s="310"/>
      <c r="J40" s="310">
        <f>IF(I38=0,0,J39/I38)</f>
        <v>6.402912174403462E-2</v>
      </c>
      <c r="K40" s="310"/>
      <c r="L40" s="310">
        <f>IF(K38=0,0,L39/K38)</f>
        <v>0.1787809263893968</v>
      </c>
      <c r="M40" s="310"/>
      <c r="N40" s="310">
        <f>IF(M38=0,0,N39/M38)</f>
        <v>3.0501089903344922E-2</v>
      </c>
      <c r="O40" s="310"/>
      <c r="P40" s="310">
        <f>IF(O38=0,0,P39/O38)</f>
        <v>0.6345960524260742</v>
      </c>
      <c r="Q40" s="310"/>
      <c r="R40" s="310">
        <f>IF(Q38=0,0,R39/Q38)</f>
        <v>0.33256904948506799</v>
      </c>
      <c r="S40" s="310"/>
      <c r="T40" s="310">
        <f>IF(S38=0,0,T39/S38)</f>
        <v>0</v>
      </c>
      <c r="U40" s="310"/>
      <c r="V40" s="310">
        <f>IF(U38=0,0,V39/U38)</f>
        <v>0</v>
      </c>
      <c r="W40" s="310"/>
      <c r="X40" s="310">
        <f>IF(W38=0,0,X39/W38)</f>
        <v>0</v>
      </c>
      <c r="Y40" s="310"/>
      <c r="Z40" s="310">
        <f>IF(Y38=0,0,Z39/Y38)</f>
        <v>1</v>
      </c>
      <c r="AA40" s="310"/>
      <c r="AB40" s="310">
        <f>IF(AA38=0,0,AB39/AA38)</f>
        <v>7.6278359045440572E-2</v>
      </c>
      <c r="AC40" s="310"/>
      <c r="AD40" s="310">
        <f>IF(AC38=0,0,AD39/AC38)</f>
        <v>2.1972974218671195E-2</v>
      </c>
      <c r="AE40" s="310"/>
      <c r="AF40" s="310">
        <f>IF(AE38=0,0,AF39/AE38)</f>
        <v>0.12762799793150018</v>
      </c>
      <c r="AG40" s="74"/>
      <c r="AH40" s="74"/>
      <c r="AI40" s="74"/>
      <c r="AJ40" s="74"/>
      <c r="AK40" s="74"/>
      <c r="AL40" s="74"/>
      <c r="AM40" s="74"/>
      <c r="AN40" s="74"/>
      <c r="AO40" s="74"/>
      <c r="AP40" s="74"/>
      <c r="AQ40" s="74"/>
      <c r="AR40" s="74"/>
      <c r="AS40" s="74"/>
      <c r="AT40" s="74"/>
      <c r="AU40" s="74"/>
    </row>
    <row r="41" spans="1:55" ht="15.75" customHeight="1" x14ac:dyDescent="0.25">
      <c r="A41" s="332" t="s">
        <v>1197</v>
      </c>
      <c r="B41" s="322" t="s">
        <v>842</v>
      </c>
      <c r="C41" s="323">
        <f>'Расчет базового уровня'!D41</f>
        <v>255967.54933569802</v>
      </c>
      <c r="D41" s="333">
        <f>IF(IF(C134=0,0,B134/C134*D134)*0.024*$D$147*(1-D163)&gt;C41,C41,IF(C134=0,0,B134/C134*D134)*0.024*$D$147*(1-D163))</f>
        <v>206894.83906614193</v>
      </c>
      <c r="E41" s="74"/>
      <c r="F41" s="74"/>
      <c r="G41" s="334" t="s">
        <v>1197</v>
      </c>
      <c r="H41" s="326" t="s">
        <v>842</v>
      </c>
      <c r="I41" s="323">
        <f>'Расчет базового уровня'!J41</f>
        <v>41829.545801393666</v>
      </c>
      <c r="J41" s="335">
        <f>IF($C134=0,0,MIN($B134/$C134*$D134*0.024*$G$147,I41))</f>
        <v>39151.236720778565</v>
      </c>
      <c r="K41" s="323">
        <f>'Расчет базового уровня'!M41</f>
        <v>40291.257680365001</v>
      </c>
      <c r="L41" s="335">
        <f>IF($C134=0,0,MIN($B134/$C134*$D134*0.024*$H$147,K41))</f>
        <v>33087.949306875453</v>
      </c>
      <c r="M41" s="323">
        <f>'Расчет базового уровня'!P41</f>
        <v>28806.099931586101</v>
      </c>
      <c r="N41" s="335">
        <f>IF($C134=0,0,MIN($B134/$C134*$D134*0.024*$I$147,M41))</f>
        <v>27927.482487808051</v>
      </c>
      <c r="O41" s="323">
        <f>'Расчет базового уровня'!S41</f>
        <v>25120.316627760603</v>
      </c>
      <c r="P41" s="335">
        <f>IF($C134=0,0,MIN($B134/$C134*$D134*0.024*$J$147,O41))</f>
        <v>9179.062860090653</v>
      </c>
      <c r="Q41" s="323">
        <f>'Расчет базового уровня'!V41</f>
        <v>7557.3903552497068</v>
      </c>
      <c r="R41" s="335">
        <f>IF($C134=0,0,MIN($B134/$C134*$D134*0.024*$K$147,Q41))</f>
        <v>5044.0362282166916</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470.78522882886273</v>
      </c>
      <c r="Z41" s="335">
        <f>IF($C134=0,0,MIN($B134/$C134*$D134*0.024*$O$147,Y41))</f>
        <v>0</v>
      </c>
      <c r="AA41" s="323">
        <f>'Расчет базового уровня'!AK41</f>
        <v>24132.821853173307</v>
      </c>
      <c r="AB41" s="335">
        <f>IF($C134=0,0,MIN($B134/$C134*$D134*0.024*$P$147,AA41))</f>
        <v>22292.009803077301</v>
      </c>
      <c r="AC41" s="323">
        <f>'Расчет базового уровня'!AN41</f>
        <v>36639.395211993913</v>
      </c>
      <c r="AD41" s="335">
        <f>IF($C134=0,0,MIN($B134/$C134*$D134*0.024*$Q$147,AC41))</f>
        <v>35834.31872561307</v>
      </c>
      <c r="AE41" s="323">
        <f>'Расчет базового уровня'!AQ41</f>
        <v>39408.352001400737</v>
      </c>
      <c r="AF41" s="335">
        <f>IF($C134=0,0,MIN($B134/$C134*$D134*0.024*$R$147,AE41))</f>
        <v>34378.742933682137</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25">
      <c r="A42" s="307" t="s">
        <v>1339</v>
      </c>
      <c r="B42" s="304" t="s">
        <v>842</v>
      </c>
      <c r="C42" s="308"/>
      <c r="D42" s="308">
        <f>C41-D41</f>
        <v>49072.71026955609</v>
      </c>
      <c r="E42" s="74"/>
      <c r="F42" s="74"/>
      <c r="G42" s="307" t="s">
        <v>1339</v>
      </c>
      <c r="H42" s="304" t="s">
        <v>842</v>
      </c>
      <c r="I42" s="308"/>
      <c r="J42" s="308">
        <f>I41-J41</f>
        <v>2678.3090806151013</v>
      </c>
      <c r="K42" s="308"/>
      <c r="L42" s="308">
        <f>K41-L41</f>
        <v>7203.3083734895481</v>
      </c>
      <c r="M42" s="308"/>
      <c r="N42" s="308">
        <f>M41-N41</f>
        <v>878.61744377805007</v>
      </c>
      <c r="O42" s="308"/>
      <c r="P42" s="308">
        <f>O41-P41</f>
        <v>15941.25376766995</v>
      </c>
      <c r="Q42" s="308"/>
      <c r="R42" s="308">
        <f>Q41-R41</f>
        <v>2513.3541270330152</v>
      </c>
      <c r="S42" s="308"/>
      <c r="T42" s="308">
        <f>S41-T41</f>
        <v>0</v>
      </c>
      <c r="U42" s="308"/>
      <c r="V42" s="308">
        <f>U41-V41</f>
        <v>0</v>
      </c>
      <c r="W42" s="308"/>
      <c r="X42" s="308">
        <f>W41-X41</f>
        <v>0</v>
      </c>
      <c r="Y42" s="308"/>
      <c r="Z42" s="308">
        <f>Y41-Z41</f>
        <v>470.78522882886273</v>
      </c>
      <c r="AA42" s="308"/>
      <c r="AB42" s="308">
        <f>AA41-AB41</f>
        <v>1840.8120500960067</v>
      </c>
      <c r="AC42" s="308"/>
      <c r="AD42" s="308">
        <f>AC41-AD41</f>
        <v>805.07648638084356</v>
      </c>
      <c r="AE42" s="308"/>
      <c r="AF42" s="308">
        <f>AE41-AF41</f>
        <v>5029.6090677186003</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75" thickBot="1" x14ac:dyDescent="0.3">
      <c r="A43" s="307" t="s">
        <v>874</v>
      </c>
      <c r="B43" s="309" t="s">
        <v>1181</v>
      </c>
      <c r="C43" s="310"/>
      <c r="D43" s="310">
        <f>IF(C41=0,0,D42/C41)</f>
        <v>0.1917145763082565</v>
      </c>
      <c r="E43" s="74"/>
      <c r="F43" s="74"/>
      <c r="G43" s="307" t="s">
        <v>874</v>
      </c>
      <c r="H43" s="309" t="s">
        <v>1181</v>
      </c>
      <c r="I43" s="310"/>
      <c r="J43" s="310">
        <f>IF(I41=0,0,J42/I41)</f>
        <v>6.4029121744034481E-2</v>
      </c>
      <c r="K43" s="310"/>
      <c r="L43" s="310">
        <f>IF(K41=0,0,L42/K41)</f>
        <v>0.17878092638939666</v>
      </c>
      <c r="M43" s="310"/>
      <c r="N43" s="310">
        <f>IF(M41=0,0,N42/M41)</f>
        <v>3.0501089903345074E-2</v>
      </c>
      <c r="O43" s="310"/>
      <c r="P43" s="310">
        <f>IF(O41=0,0,P42/O41)</f>
        <v>0.6345960524260742</v>
      </c>
      <c r="Q43" s="310"/>
      <c r="R43" s="310">
        <f>IF(Q41=0,0,R42/Q41)</f>
        <v>0.33256904948506799</v>
      </c>
      <c r="S43" s="310"/>
      <c r="T43" s="310">
        <f>IF(S41=0,0,T42/S41)</f>
        <v>0</v>
      </c>
      <c r="U43" s="310"/>
      <c r="V43" s="310">
        <f>IF(U41=0,0,V42/U41)</f>
        <v>0</v>
      </c>
      <c r="W43" s="310"/>
      <c r="X43" s="310">
        <f>IF(W41=0,0,X42/W41)</f>
        <v>0</v>
      </c>
      <c r="Y43" s="310"/>
      <c r="Z43" s="310">
        <f>IF(Y41=0,0,Z42/Y41)</f>
        <v>1</v>
      </c>
      <c r="AA43" s="310"/>
      <c r="AB43" s="310">
        <f>IF(AA41=0,0,AB42/AA41)</f>
        <v>7.6278359045440516E-2</v>
      </c>
      <c r="AC43" s="310"/>
      <c r="AD43" s="310">
        <f>IF(AC41=0,0,AD42/AC41)</f>
        <v>2.1972974218671098E-2</v>
      </c>
      <c r="AE43" s="310"/>
      <c r="AF43" s="310">
        <f>IF(AE41=0,0,AF42/AE41)</f>
        <v>0.12762799793150009</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25">
      <c r="A44" s="332" t="s">
        <v>1199</v>
      </c>
      <c r="B44" s="322" t="s">
        <v>842</v>
      </c>
      <c r="C44" s="323">
        <f>'Расчет базового уровня'!D44</f>
        <v>58511.332081304186</v>
      </c>
      <c r="D44" s="333">
        <f>IF(IF(C135=0,0,B135/C135*D135)*0.024*$D$147&gt;C44,C44,IF(C135=0,0,B135/C135*D135)*0.024*$D$147)</f>
        <v>47293.856842105255</v>
      </c>
      <c r="E44" s="74"/>
      <c r="F44" s="74"/>
      <c r="G44" s="334" t="s">
        <v>1199</v>
      </c>
      <c r="H44" s="326" t="s">
        <v>842</v>
      </c>
      <c r="I44" s="323">
        <f>'Расчет базового уровня'!J44</f>
        <v>9561.7684802130989</v>
      </c>
      <c r="J44" s="335">
        <f>IF($C135=0,0,MIN($B135/$C135*$D135*0.024*$G$147,I44))</f>
        <v>8949.5368421052626</v>
      </c>
      <c r="K44" s="323">
        <f>'Расчет базового уровня'!M44</f>
        <v>9210.1329415683504</v>
      </c>
      <c r="L44" s="335">
        <f>IF($C135=0,0,MIN($B135/$C135*$D135*0.024*$H$147,K44))</f>
        <v>7563.5368421052617</v>
      </c>
      <c r="M44" s="323">
        <f>'Расчет базового уровня'!P44</f>
        <v>6584.7537449123274</v>
      </c>
      <c r="N44" s="335">
        <f>IF($C135=0,0,MIN($B135/$C135*$D135*0.024*$I$147,M44))</f>
        <v>6383.9115789473681</v>
      </c>
      <c r="O44" s="323">
        <f>'Расчет базового уровня'!S44</f>
        <v>5742.2247156289113</v>
      </c>
      <c r="P44" s="335">
        <f>IF($C135=0,0,MIN($B135/$C135*$D135*0.024*$J$147,O44))</f>
        <v>2098.2315789473682</v>
      </c>
      <c r="Q44" s="323">
        <f>'Расчет базового уровня'!V44</f>
        <v>1727.5352984847736</v>
      </c>
      <c r="R44" s="335">
        <f>IF($C135=0,0,MIN($B135/$C135*$D135*0.024*$K$147,Q44))</f>
        <v>1153.0105263157891</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107.61626203973148</v>
      </c>
      <c r="Z44" s="335">
        <f>IF($C135=0,0,MIN($B135/$C135*$D135*0.024*$O$147,Y44))</f>
        <v>0</v>
      </c>
      <c r="AA44" s="323">
        <f>'Расчет базового уровня'!AK44</f>
        <v>5516.4944039765842</v>
      </c>
      <c r="AB44" s="335">
        <f>IF($C135=0,0,MIN($B135/$C135*$D135*0.024*$P$147,AA44))</f>
        <v>5095.7052631578945</v>
      </c>
      <c r="AC44" s="323">
        <f>'Расчет базового уровня'!AN44</f>
        <v>8375.3578376278147</v>
      </c>
      <c r="AD44" s="335">
        <f>IF($C135=0,0,MIN($B135/$C135*$D135*0.024*$Q$147,AC44))</f>
        <v>8191.3263157894735</v>
      </c>
      <c r="AE44" s="323">
        <f>'Расчет базового уровня'!AQ44</f>
        <v>9008.3105327809153</v>
      </c>
      <c r="AF44" s="335">
        <f>IF($C135=0,0,MIN($B135/$C135*$D135*0.024*$R$147,AE44))</f>
        <v>7858.5978947368421</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25">
      <c r="A45" s="307" t="s">
        <v>1339</v>
      </c>
      <c r="B45" s="304" t="s">
        <v>842</v>
      </c>
      <c r="C45" s="308"/>
      <c r="D45" s="308">
        <f>C44-D44</f>
        <v>11217.475239198931</v>
      </c>
      <c r="E45" s="74"/>
      <c r="F45" s="74"/>
      <c r="G45" s="307" t="s">
        <v>1339</v>
      </c>
      <c r="H45" s="304" t="s">
        <v>842</v>
      </c>
      <c r="I45" s="308"/>
      <c r="J45" s="308">
        <f>I44-J44</f>
        <v>612.23163810783626</v>
      </c>
      <c r="K45" s="308"/>
      <c r="L45" s="308">
        <f>K44-L44</f>
        <v>1646.5960994630886</v>
      </c>
      <c r="M45" s="308"/>
      <c r="N45" s="308">
        <f>M44-N44</f>
        <v>200.84216596495935</v>
      </c>
      <c r="O45" s="308"/>
      <c r="P45" s="308">
        <f>O44-P44</f>
        <v>3643.9931366815431</v>
      </c>
      <c r="Q45" s="308"/>
      <c r="R45" s="308">
        <f>Q44-R44</f>
        <v>574.52477216898455</v>
      </c>
      <c r="S45" s="308"/>
      <c r="T45" s="308">
        <f>S44-T44</f>
        <v>0</v>
      </c>
      <c r="U45" s="308"/>
      <c r="V45" s="308">
        <f>U44-V44</f>
        <v>0</v>
      </c>
      <c r="W45" s="308"/>
      <c r="X45" s="308">
        <f>W44-X44</f>
        <v>0</v>
      </c>
      <c r="Y45" s="308"/>
      <c r="Z45" s="308">
        <f>Y44-Z44</f>
        <v>107.61626203973148</v>
      </c>
      <c r="AA45" s="308"/>
      <c r="AB45" s="308">
        <f>AA44-AB44</f>
        <v>420.7891408186897</v>
      </c>
      <c r="AC45" s="308"/>
      <c r="AD45" s="308">
        <f>AC44-AD44</f>
        <v>184.03152183834118</v>
      </c>
      <c r="AE45" s="308"/>
      <c r="AF45" s="308">
        <f>AE44-AF44</f>
        <v>1149.7126380440732</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
      <c r="A46" s="307" t="s">
        <v>874</v>
      </c>
      <c r="B46" s="309" t="s">
        <v>1181</v>
      </c>
      <c r="C46" s="310"/>
      <c r="D46" s="310">
        <f>IF(C44=0,0,D45/C44)</f>
        <v>0.19171457630825656</v>
      </c>
      <c r="E46" s="74"/>
      <c r="F46" s="74"/>
      <c r="G46" s="307" t="s">
        <v>874</v>
      </c>
      <c r="H46" s="309" t="s">
        <v>1181</v>
      </c>
      <c r="I46" s="310"/>
      <c r="J46" s="310">
        <f>IF(I44=0,0,J45/I44)</f>
        <v>6.4029121744034495E-2</v>
      </c>
      <c r="K46" s="310"/>
      <c r="L46" s="310">
        <f>IF(K44=0,0,L45/K44)</f>
        <v>0.17878092638939666</v>
      </c>
      <c r="M46" s="310"/>
      <c r="N46" s="310">
        <f>IF(M44=0,0,N45/M44)</f>
        <v>3.050108990334512E-2</v>
      </c>
      <c r="O46" s="310"/>
      <c r="P46" s="310">
        <f>IF(O44=0,0,P45/O44)</f>
        <v>0.63459605242607409</v>
      </c>
      <c r="Q46" s="310"/>
      <c r="R46" s="310">
        <f>IF(Q44=0,0,R45/Q44)</f>
        <v>0.3325690494850681</v>
      </c>
      <c r="S46" s="310"/>
      <c r="T46" s="310">
        <f>IF(S44=0,0,T45/S44)</f>
        <v>0</v>
      </c>
      <c r="U46" s="310"/>
      <c r="V46" s="310">
        <f>IF(U44=0,0,V45/U44)</f>
        <v>0</v>
      </c>
      <c r="W46" s="310"/>
      <c r="X46" s="310">
        <f>IF(W44=0,0,X45/W44)</f>
        <v>0</v>
      </c>
      <c r="Y46" s="310"/>
      <c r="Z46" s="310">
        <f>IF(Y44=0,0,Z45/Y44)</f>
        <v>1</v>
      </c>
      <c r="AA46" s="310"/>
      <c r="AB46" s="310">
        <f>IF(AA44=0,0,AB45/AA44)</f>
        <v>7.62783590454406E-2</v>
      </c>
      <c r="AC46" s="310"/>
      <c r="AD46" s="310">
        <f>IF(AC44=0,0,AD45/AC44)</f>
        <v>2.1972974218671133E-2</v>
      </c>
      <c r="AE46" s="310"/>
      <c r="AF46" s="310">
        <f>IF(AE44=0,0,AF45/AE44)</f>
        <v>0.12762799793150009</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25">
      <c r="A47" s="332" t="s">
        <v>1201</v>
      </c>
      <c r="B47" s="322" t="s">
        <v>842</v>
      </c>
      <c r="C47" s="323">
        <f>'Расчет базового уровня'!D47</f>
        <v>4821.998947329198</v>
      </c>
      <c r="D47" s="333">
        <f>IF(IF(C136=0,0,B136/C136*D136)*0.024*$D$147&gt;C47,C47,IF(C136=0,0,B136/C136*D136)*0.024*$D$147)</f>
        <v>3734.3720727272726</v>
      </c>
      <c r="E47" s="74"/>
      <c r="F47" s="74"/>
      <c r="G47" s="334" t="s">
        <v>1201</v>
      </c>
      <c r="H47" s="326" t="s">
        <v>842</v>
      </c>
      <c r="I47" s="323">
        <f>'Расчет базового уровня'!J47</f>
        <v>755.0071735025407</v>
      </c>
      <c r="J47" s="335">
        <f>IF($C136=0,0,MIN($B136/$C136*$D136*0.024*$G$147,I47))</f>
        <v>706.66472727272719</v>
      </c>
      <c r="K47" s="323">
        <f>'Расчет базового уровня'!M47</f>
        <v>727.24166603552692</v>
      </c>
      <c r="L47" s="335">
        <f>IF($C136=0,0,MIN($B136/$C136*$D136*0.024*$H$147,K47))</f>
        <v>597.22472727272725</v>
      </c>
      <c r="M47" s="323">
        <f>'Расчет базового уровня'!P47</f>
        <v>519.93899700086945</v>
      </c>
      <c r="N47" s="335">
        <f>IF($C136=0,0,MIN($B136/$C136*$D136*0.024*$I$147,M47))</f>
        <v>504.08029090909088</v>
      </c>
      <c r="O47" s="323">
        <f>'Расчет базового уровня'!S47</f>
        <v>453.4120294938154</v>
      </c>
      <c r="P47" s="335">
        <f>IF($C136=0,0,MIN($B136/$C136*$D136*0.024*$J$147,O47))</f>
        <v>165.67854545454546</v>
      </c>
      <c r="Q47" s="323">
        <f>'Расчет базового уровня'!V47</f>
        <v>136.40798201022628</v>
      </c>
      <c r="R47" s="335">
        <f>IF($C136=0,0,MIN($B136/$C136*$D136*0.024*$K$147,Q47))</f>
        <v>91.042909090909063</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8.4974918597606166</v>
      </c>
      <c r="Z47" s="335">
        <f>IF($C136=0,0,MIN($B136/$C136*$D136*0.024*$O$147,Y47))</f>
        <v>0</v>
      </c>
      <c r="AA47" s="323">
        <f>'Расчет базового уровня'!AK47</f>
        <v>435.58812956074843</v>
      </c>
      <c r="AB47" s="335">
        <f>IF($C136=0,0,MIN($B136/$C136*$D136*0.024*$P$147,AA47))</f>
        <v>402.36218181818185</v>
      </c>
      <c r="AC47" s="323">
        <f>'Расчет базового уровня'!AN47</f>
        <v>661.32695652957295</v>
      </c>
      <c r="AD47" s="335">
        <f>IF($C136=0,0,MIN($B136/$C136*$D136*0.024*$Q$147,AC47))</f>
        <v>646.79563636363639</v>
      </c>
      <c r="AE47" s="323">
        <f>'Расчет базового уровня'!AQ47</f>
        <v>711.30555895205157</v>
      </c>
      <c r="AF47" s="335">
        <f>IF($C136=0,0,MIN($B136/$C136*$D136*0.024*$R$147,AE47))</f>
        <v>620.52305454545456</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25">
      <c r="A48" s="307" t="s">
        <v>1339</v>
      </c>
      <c r="B48" s="304" t="s">
        <v>842</v>
      </c>
      <c r="C48" s="308"/>
      <c r="D48" s="308">
        <f>C47-D47</f>
        <v>1087.6268746019255</v>
      </c>
      <c r="E48" s="74"/>
      <c r="F48" s="74"/>
      <c r="G48" s="307" t="s">
        <v>1339</v>
      </c>
      <c r="H48" s="304" t="s">
        <v>842</v>
      </c>
      <c r="I48" s="308"/>
      <c r="J48" s="308">
        <f>I47-J47</f>
        <v>48.342446229813504</v>
      </c>
      <c r="K48" s="308"/>
      <c r="L48" s="308">
        <f>K47-L47</f>
        <v>130.01693876279967</v>
      </c>
      <c r="M48" s="308"/>
      <c r="N48" s="308">
        <f>M47-N47</f>
        <v>15.858706091778572</v>
      </c>
      <c r="O48" s="308"/>
      <c r="P48" s="308">
        <f>O47-P47</f>
        <v>287.73348403926991</v>
      </c>
      <c r="Q48" s="308"/>
      <c r="R48" s="308">
        <f>Q47-R47</f>
        <v>45.365072919317214</v>
      </c>
      <c r="S48" s="308"/>
      <c r="T48" s="308">
        <f>S47-T47</f>
        <v>0</v>
      </c>
      <c r="U48" s="308"/>
      <c r="V48" s="308">
        <f>U47-V47</f>
        <v>0</v>
      </c>
      <c r="W48" s="308"/>
      <c r="X48" s="308">
        <f>W47-X47</f>
        <v>0</v>
      </c>
      <c r="Y48" s="308"/>
      <c r="Z48" s="308">
        <f>Y47-Z47</f>
        <v>8.4974918597606166</v>
      </c>
      <c r="AA48" s="308"/>
      <c r="AB48" s="308">
        <f>AA47-AB47</f>
        <v>33.225947742566575</v>
      </c>
      <c r="AC48" s="308"/>
      <c r="AD48" s="308">
        <f>AC47-AD47</f>
        <v>14.531320165936563</v>
      </c>
      <c r="AE48" s="308"/>
      <c r="AF48" s="308">
        <f>AE47-AF47</f>
        <v>90.782504406597013</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
      <c r="A49" s="307" t="s">
        <v>874</v>
      </c>
      <c r="B49" s="309" t="s">
        <v>1181</v>
      </c>
      <c r="C49" s="310"/>
      <c r="D49" s="310">
        <f>IF(C47=0,0,D48/C47)</f>
        <v>0.22555518706704378</v>
      </c>
      <c r="E49" s="74"/>
      <c r="F49" s="74"/>
      <c r="G49" s="307" t="s">
        <v>874</v>
      </c>
      <c r="H49" s="309" t="s">
        <v>1181</v>
      </c>
      <c r="I49" s="310"/>
      <c r="J49" s="310">
        <f>IF(I47=0,0,J48/I47)</f>
        <v>6.4029121744034426E-2</v>
      </c>
      <c r="K49" s="310"/>
      <c r="L49" s="310">
        <f>IF(K47=0,0,L48/K47)</f>
        <v>0.17878092638939658</v>
      </c>
      <c r="M49" s="310"/>
      <c r="N49" s="310">
        <f>IF(M47=0,0,N48/M47)</f>
        <v>3.050108990334505E-2</v>
      </c>
      <c r="O49" s="310"/>
      <c r="P49" s="310">
        <f>IF(O47=0,0,P48/O47)</f>
        <v>0.63459605242607409</v>
      </c>
      <c r="Q49" s="310"/>
      <c r="R49" s="310">
        <f>IF(Q47=0,0,R48/Q47)</f>
        <v>0.33256904948506805</v>
      </c>
      <c r="S49" s="310"/>
      <c r="T49" s="310">
        <f>IF(S47=0,0,T48/S47)</f>
        <v>0</v>
      </c>
      <c r="U49" s="310"/>
      <c r="V49" s="310">
        <f>IF(U47=0,0,V48/U47)</f>
        <v>0</v>
      </c>
      <c r="W49" s="310"/>
      <c r="X49" s="310">
        <f>IF(W47=0,0,X48/W47)</f>
        <v>0</v>
      </c>
      <c r="Y49" s="310"/>
      <c r="Z49" s="310">
        <f>IF(Y47=0,0,Z48/Y47)</f>
        <v>1</v>
      </c>
      <c r="AA49" s="310"/>
      <c r="AB49" s="310">
        <f>IF(AA47=0,0,AB48/AA47)</f>
        <v>7.6278359045440391E-2</v>
      </c>
      <c r="AC49" s="310"/>
      <c r="AD49" s="310">
        <f>IF(AC47=0,0,AD48/AC47)</f>
        <v>2.197297421867115E-2</v>
      </c>
      <c r="AE49" s="310"/>
      <c r="AF49" s="310">
        <f>IF(AE47=0,0,AF48/AE47)</f>
        <v>0.12762799793150018</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25">
      <c r="A50" s="332" t="s">
        <v>1589</v>
      </c>
      <c r="B50" s="322" t="s">
        <v>842</v>
      </c>
      <c r="C50" s="323">
        <f>'Расчет базового уровня'!D50</f>
        <v>0</v>
      </c>
      <c r="D50" s="333">
        <f>IF(IF(C137=0,0,B137/C137*D137)*0.024*$D$147&gt;C50,C50,IF(C137=0,0,B137/C137*D137)*0.024*$D$147)</f>
        <v>0</v>
      </c>
      <c r="E50" s="74"/>
      <c r="F50" s="74"/>
      <c r="G50" s="332" t="s">
        <v>1589</v>
      </c>
      <c r="H50" s="326" t="s">
        <v>842</v>
      </c>
      <c r="I50" s="323">
        <f>'Расчет базового уровня'!J50</f>
        <v>0</v>
      </c>
      <c r="J50" s="335">
        <f>IF($C137=0,0,MIN($B137/$C137*$D137*0.024*$G$147,I50))</f>
        <v>0</v>
      </c>
      <c r="K50" s="323">
        <f>'Расчет базового уровня'!M50</f>
        <v>0</v>
      </c>
      <c r="L50" s="335">
        <f>IF($C137=0,0,MIN($B137/$C137*$D137*0.024*$H$147,K50))</f>
        <v>0</v>
      </c>
      <c r="M50" s="323">
        <f>'Расчет базового уровня'!P50</f>
        <v>0</v>
      </c>
      <c r="N50" s="335">
        <f>IF($C137=0,0,MIN($B137/$C137*$D137*0.024*$I$147,M50))</f>
        <v>0</v>
      </c>
      <c r="O50" s="323">
        <f>'Расчет базового уровня'!S50</f>
        <v>0</v>
      </c>
      <c r="P50" s="335">
        <f>IF($C137=0,0,MIN($B137/$C137*$D137*0.024*$J$147,O50))</f>
        <v>0</v>
      </c>
      <c r="Q50" s="323">
        <f>'Расчет базового уровня'!V50</f>
        <v>0</v>
      </c>
      <c r="R50" s="335">
        <f>IF($C137=0,0,MIN($B137/$C137*$D137*0.024*$K$147,Q50))</f>
        <v>0</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0</v>
      </c>
      <c r="AB50" s="335">
        <f>IF($C137=0,0,MIN($B137/$C137*$D137*0.024*$P$147,AA50))</f>
        <v>0</v>
      </c>
      <c r="AC50" s="323">
        <f>'Расчет базового уровня'!AN50</f>
        <v>0</v>
      </c>
      <c r="AD50" s="335">
        <f>IF($C137=0,0,MIN($B137/$C137*$D137*0.024*$Q$147,AC50))</f>
        <v>0</v>
      </c>
      <c r="AE50" s="323">
        <f>'Расчет базового уровня'!AQ50</f>
        <v>0</v>
      </c>
      <c r="AF50" s="335">
        <f>IF($C137=0,0,MIN($B137/$C137*$D137*0.024*$R$147,AE50))</f>
        <v>0</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25">
      <c r="A51" s="307" t="s">
        <v>1339</v>
      </c>
      <c r="B51" s="304" t="s">
        <v>842</v>
      </c>
      <c r="C51" s="308"/>
      <c r="D51" s="308">
        <f>C50-D50</f>
        <v>0</v>
      </c>
      <c r="E51" s="74"/>
      <c r="F51" s="74"/>
      <c r="G51" s="307" t="s">
        <v>1339</v>
      </c>
      <c r="H51" s="304" t="s">
        <v>842</v>
      </c>
      <c r="I51" s="308"/>
      <c r="J51" s="308">
        <f>I50-J50</f>
        <v>0</v>
      </c>
      <c r="K51" s="308"/>
      <c r="L51" s="308">
        <f>K50-L50</f>
        <v>0</v>
      </c>
      <c r="M51" s="308"/>
      <c r="N51" s="308">
        <f>M50-N50</f>
        <v>0</v>
      </c>
      <c r="O51" s="308"/>
      <c r="P51" s="308">
        <f>O50-P50</f>
        <v>0</v>
      </c>
      <c r="Q51" s="308"/>
      <c r="R51" s="308">
        <f>Q50-R50</f>
        <v>0</v>
      </c>
      <c r="S51" s="308"/>
      <c r="T51" s="308">
        <f>S50-T50</f>
        <v>0</v>
      </c>
      <c r="U51" s="308"/>
      <c r="V51" s="308">
        <f>U50-V50</f>
        <v>0</v>
      </c>
      <c r="W51" s="308"/>
      <c r="X51" s="308">
        <f>W50-X50</f>
        <v>0</v>
      </c>
      <c r="Y51" s="308"/>
      <c r="Z51" s="308">
        <f>Y50-Z50</f>
        <v>0</v>
      </c>
      <c r="AA51" s="308"/>
      <c r="AB51" s="308">
        <f>AA50-AB50</f>
        <v>0</v>
      </c>
      <c r="AC51" s="308"/>
      <c r="AD51" s="308">
        <f>AC50-AD50</f>
        <v>0</v>
      </c>
      <c r="AE51" s="308"/>
      <c r="AF51" s="308">
        <f>AE50-AF50</f>
        <v>0</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
      <c r="A52" s="307" t="s">
        <v>874</v>
      </c>
      <c r="B52" s="309" t="s">
        <v>1181</v>
      </c>
      <c r="C52" s="310"/>
      <c r="D52" s="310">
        <f>IF(C50=0,0,D51/C50)</f>
        <v>0</v>
      </c>
      <c r="E52" s="74"/>
      <c r="F52" s="74"/>
      <c r="G52" s="307" t="s">
        <v>874</v>
      </c>
      <c r="H52" s="309" t="s">
        <v>1181</v>
      </c>
      <c r="I52" s="310"/>
      <c r="J52" s="310">
        <f>IF(I50=0,0,J51/I50)</f>
        <v>0</v>
      </c>
      <c r="K52" s="310"/>
      <c r="L52" s="310">
        <f>IF(K50=0,0,L51/K50)</f>
        <v>0</v>
      </c>
      <c r="M52" s="310"/>
      <c r="N52" s="310">
        <f>IF(M50=0,0,N51/M50)</f>
        <v>0</v>
      </c>
      <c r="O52" s="310"/>
      <c r="P52" s="310">
        <f>IF(O50=0,0,P51/O50)</f>
        <v>0</v>
      </c>
      <c r="Q52" s="310"/>
      <c r="R52" s="310">
        <f>IF(Q50=0,0,R51/Q50)</f>
        <v>0</v>
      </c>
      <c r="S52" s="310"/>
      <c r="T52" s="310">
        <f>IF(S50=0,0,T51/S50)</f>
        <v>0</v>
      </c>
      <c r="U52" s="310"/>
      <c r="V52" s="310">
        <f>IF(U50=0,0,V51/U50)</f>
        <v>0</v>
      </c>
      <c r="W52" s="310"/>
      <c r="X52" s="310">
        <f>IF(W50=0,0,X51/W50)</f>
        <v>0</v>
      </c>
      <c r="Y52" s="310"/>
      <c r="Z52" s="310">
        <f>IF(Y50=0,0,Z51/Y50)</f>
        <v>0</v>
      </c>
      <c r="AA52" s="310"/>
      <c r="AB52" s="310">
        <f>IF(AA50=0,0,AB51/AA50)</f>
        <v>0</v>
      </c>
      <c r="AC52" s="310"/>
      <c r="AD52" s="310">
        <f>IF(AC50=0,0,AD51/AC50)</f>
        <v>0</v>
      </c>
      <c r="AE52" s="310"/>
      <c r="AF52" s="310">
        <f>IF(AE50=0,0,AF51/AE50)</f>
        <v>0</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25">
      <c r="A53" s="332" t="s">
        <v>1203</v>
      </c>
      <c r="B53" s="322" t="s">
        <v>842</v>
      </c>
      <c r="C53" s="323">
        <f>'Расчет базового уровня'!D53</f>
        <v>49287.870866517318</v>
      </c>
      <c r="D53" s="333">
        <f>IF((IF(C138=0,0,B138/C138*D138)+IF(C139=0,0,B139/C139*D139)+IF(C140=0,0,B140/C140*D140))*0.024*$D$147&gt;C53,C53,(IF(C138=0,0,B138/C138*D138)+IF(C139=0,0,B139/C139*D139)+IF(C140=0,0,B140/C140*D140))*0.024*$D$147)</f>
        <v>39838.667586206888</v>
      </c>
      <c r="E53" s="74"/>
      <c r="F53" s="74"/>
      <c r="G53" s="334" t="s">
        <v>1203</v>
      </c>
      <c r="H53" s="326" t="s">
        <v>842</v>
      </c>
      <c r="I53" s="323">
        <f>'Расчет базового уровня'!J53</f>
        <v>8054.4946311154663</v>
      </c>
      <c r="J53" s="335">
        <f>IF((IF(C138=0,0,B138/C138*D138)+IF(C139=0,0,B139/C139*D139)+IF(C140=0,0,B140/C140*D140))*0.024*G$147&gt;I53,I53,(IF(C138=0,0,B138/C138*D138)+IF(C139=0,0,B139/C139*D139)+IF(C140=0,0,B140/C140*D140))*0.024*G$147)</f>
        <v>7538.7724137931018</v>
      </c>
      <c r="K53" s="323">
        <f>'Расчет базового уровня'!M53</f>
        <v>7758.2893251634887</v>
      </c>
      <c r="L53" s="335">
        <f>IF((IF($C$138=0,0,$B$138/$C$138*$D$138)+IF($C$139=0,0,$B$139/$C$139*$D$139)+IF($C$140=0,0,$B$140/$C$140*$D$140))*0.024*$H$147&gt;K53,K53,(IF($C$138=0,0,$B$138/$C$138*$D$138)+IF($C$139=0,0,$B$139/$C$139*$D$139)+IF($C$140=0,0,$B$140/$C$140*$D$140))*0.024*$H$147)</f>
        <v>6371.255172413792</v>
      </c>
      <c r="M53" s="323">
        <f>'Расчет базового уровня'!P53</f>
        <v>5546.763006798069</v>
      </c>
      <c r="N53" s="335">
        <f>IF((IF($C$138=0,0,$B$138/$C$138*$D$138)+IF($C$139=0,0,$B$139/$C$139*$D$139)+IF($C$140=0,0,$B$140/$C$140*$D$140))*0.024*$I$147&gt;M53,M53,(IF($C$138=0,0,$B$138/$C$138*$D$138)+IF($C$139=0,0,$B$139/$C$139*$D$139)+IF($C$140=0,0,$B$140/$C$140*$D$140))*0.024*$I$147)</f>
        <v>5377.5806896551721</v>
      </c>
      <c r="O53" s="323">
        <f>'Расчет базового уровня'!S53</f>
        <v>4837.0464353327288</v>
      </c>
      <c r="P53" s="335">
        <f>IF((IF($C$138=0,0,$B$138/$C$138*$D$138)+IF($C$139=0,0,$B$139/$C$139*$D$139)+IF($C$140=0,0,$B$140/$C$140*$D$140))*0.024*$J$147&gt;O53,O53,(IF($C$138=0,0,$B$138/$C$138*$D$138)+IF($C$139=0,0,$B$139/$C$139*$D$139)+IF($C$140=0,0,$B$140/$C$140*$D$140))*0.024*$J$147)</f>
        <v>1767.4758620689654</v>
      </c>
      <c r="Q53" s="323">
        <f>'Расчет базового уровня'!V53</f>
        <v>1455.2144632556467</v>
      </c>
      <c r="R53" s="335">
        <f>IF((IF($C$138=0,0,$B$138/$C$138*$D$138)+IF($C$139=0,0,$B$139/$C$139*$D$139)+IF($C$140=0,0,$B$140/$C$140*$D$140))*0.024*$K$147&gt;Q53,Q53,(IF($C$138=0,0,$B$138/$C$138*$D$138)+IF($C$139=0,0,$B$139/$C$139*$D$139)+IF($C$140=0,0,$B$140/$C$140*$D$140))*0.024*$K$147)</f>
        <v>971.25517241379282</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90.652122210808287</v>
      </c>
      <c r="Z53" s="335">
        <f>IF((IF($C$138=0,0,$B$138/$C$138*$D$138)+IF($C$139=0,0,$B$139/$C$139*$D$139)+IF($C$140=0,0,$B$140/$C$140*$D$140))*0.024*$O$147&gt;Y53,Y53,(IF($C$138=0,0,$B$138/$C$138*$D$138)+IF($C$139=0,0,$B$139/$C$139*$D$139)+IF($C$140=0,0,$B$140/$C$140*$D$140))*0.024*$O$147)</f>
        <v>0</v>
      </c>
      <c r="AA53" s="323">
        <f>'Расчет базового уровня'!AK53</f>
        <v>4646.8992269950531</v>
      </c>
      <c r="AB53" s="335">
        <f>IF((IF($C$138=0,0,$B$138/$C$138*$D$138)+IF($C$139=0,0,$B$139/$C$139*$D$139)+IF($C$140=0,0,$B$140/$C$140*$D$140))*0.024*$P$147&gt;AA53,AA53,(IF($C$138=0,0,$B$138/$C$138*$D$138)+IF($C$139=0,0,$B$139/$C$139*$D$139)+IF($C$140=0,0,$B$140/$C$140*$D$140))*0.024*$P$147)</f>
        <v>4292.4413793103449</v>
      </c>
      <c r="AC53" s="323">
        <f>'Расчет базового уровня'!AN53</f>
        <v>7055.1043853909177</v>
      </c>
      <c r="AD53" s="335">
        <f>IF((IF($C$138=0,0,$B$138/$C$138*$D$138)+IF($C$139=0,0,$B$139/$C$139*$D$139)+IF($C$140=0,0,$B$140/$C$140*$D$140))*0.024*$Q$147&gt;AC53,AC53,(IF($C$138=0,0,$B$138/$C$138*$D$138)+IF($C$139=0,0,$B$139/$C$139*$D$139)+IF($C$140=0,0,$B$140/$C$140*$D$140))*0.024*$Q$147)</f>
        <v>6900.0827586206897</v>
      </c>
      <c r="AE53" s="323">
        <f>'Расчет базового уровня'!AQ53</f>
        <v>7588.2812862341698</v>
      </c>
      <c r="AF53" s="335">
        <f>IF((IF($C$138=0,0,$B$138/$C$138*$D$138)+IF($C$139=0,0,$B$139/$C$139*$D$139)+IF($C$140=0,0,$B$140/$C$140*$D$140))*0.024*$R$147&gt;AE53,AE53,(IF($C$138=0,0,$B$138/$C$138*$D$138)+IF($C$139=0,0,$B$139/$C$139*$D$139)+IF($C$140=0,0,$B$140/$C$140*$D$140))*0.024*$R$147)</f>
        <v>6619.8041379310343</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25">
      <c r="A54" s="307" t="s">
        <v>1339</v>
      </c>
      <c r="B54" s="304" t="s">
        <v>842</v>
      </c>
      <c r="C54" s="308"/>
      <c r="D54" s="308">
        <f>C53-D53</f>
        <v>9449.2032803104303</v>
      </c>
      <c r="E54" s="74"/>
      <c r="F54" s="74"/>
      <c r="G54" s="307" t="s">
        <v>1339</v>
      </c>
      <c r="H54" s="304" t="s">
        <v>842</v>
      </c>
      <c r="I54" s="308"/>
      <c r="J54" s="308">
        <f>I53-J53</f>
        <v>515.72221732236449</v>
      </c>
      <c r="K54" s="308"/>
      <c r="L54" s="308">
        <f>K53-L53</f>
        <v>1387.0341527496967</v>
      </c>
      <c r="M54" s="308"/>
      <c r="N54" s="308">
        <f>M53-N53</f>
        <v>169.18231714289686</v>
      </c>
      <c r="O54" s="308"/>
      <c r="P54" s="308">
        <f>O53-P53</f>
        <v>3069.5705732637634</v>
      </c>
      <c r="Q54" s="308"/>
      <c r="R54" s="308">
        <f>Q53-R53</f>
        <v>483.95929084185389</v>
      </c>
      <c r="S54" s="308"/>
      <c r="T54" s="308">
        <f>S53-T53</f>
        <v>0</v>
      </c>
      <c r="U54" s="308"/>
      <c r="V54" s="308">
        <f>U53-V53</f>
        <v>0</v>
      </c>
      <c r="W54" s="308"/>
      <c r="X54" s="308">
        <f>W53-X53</f>
        <v>0</v>
      </c>
      <c r="Y54" s="308"/>
      <c r="Z54" s="308">
        <f>Y53-Z53</f>
        <v>90.652122210808287</v>
      </c>
      <c r="AA54" s="308"/>
      <c r="AB54" s="308">
        <f>AA53-AB53</f>
        <v>354.45784768470821</v>
      </c>
      <c r="AC54" s="308"/>
      <c r="AD54" s="308">
        <f>AC53-AD53</f>
        <v>155.02162677022807</v>
      </c>
      <c r="AE54" s="308"/>
      <c r="AF54" s="308">
        <f>AE53-AF53</f>
        <v>968.47714830313544</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75" thickBot="1" x14ac:dyDescent="0.3">
      <c r="A55" s="307" t="s">
        <v>874</v>
      </c>
      <c r="B55" s="309" t="s">
        <v>1181</v>
      </c>
      <c r="C55" s="310"/>
      <c r="D55" s="310">
        <f>IF(C53=0,0,D54/C53)</f>
        <v>0.19171457630825656</v>
      </c>
      <c r="E55" s="74"/>
      <c r="F55" s="74"/>
      <c r="G55" s="307" t="s">
        <v>874</v>
      </c>
      <c r="H55" s="309" t="s">
        <v>1181</v>
      </c>
      <c r="I55" s="310"/>
      <c r="J55" s="310">
        <f>IF(I53=0,0,J54/I53)</f>
        <v>6.4029121744034509E-2</v>
      </c>
      <c r="K55" s="310"/>
      <c r="L55" s="310">
        <f>IF(K53=0,0,L54/K53)</f>
        <v>0.1787809263893968</v>
      </c>
      <c r="M55" s="310"/>
      <c r="N55" s="310">
        <f>IF(M53=0,0,N54/M53)</f>
        <v>3.050108990334513E-2</v>
      </c>
      <c r="O55" s="310"/>
      <c r="P55" s="310">
        <f>IF(O53=0,0,P54/O53)</f>
        <v>0.6345960524260742</v>
      </c>
      <c r="Q55" s="310"/>
      <c r="R55" s="310">
        <f>IF(Q53=0,0,R54/Q53)</f>
        <v>0.33256904948506805</v>
      </c>
      <c r="S55" s="310"/>
      <c r="T55" s="310">
        <f>IF(S53=0,0,T54/S53)</f>
        <v>0</v>
      </c>
      <c r="U55" s="310"/>
      <c r="V55" s="310">
        <f>IF(U53=0,0,V54/U53)</f>
        <v>0</v>
      </c>
      <c r="W55" s="310"/>
      <c r="X55" s="310">
        <f>IF(W53=0,0,X54/W53)</f>
        <v>0</v>
      </c>
      <c r="Y55" s="310"/>
      <c r="Z55" s="310">
        <f>IF(Y53=0,0,Z54/Y53)</f>
        <v>1</v>
      </c>
      <c r="AA55" s="310"/>
      <c r="AB55" s="310">
        <f>IF(AA53=0,0,AB54/AA53)</f>
        <v>7.6278359045440419E-2</v>
      </c>
      <c r="AC55" s="310"/>
      <c r="AD55" s="310">
        <f>IF(AC53=0,0,AD54/AC53)</f>
        <v>2.1972974218671101E-2</v>
      </c>
      <c r="AE55" s="310"/>
      <c r="AF55" s="310">
        <f>IF(AE53=0,0,AF54/AE53)</f>
        <v>0.12762799793150009</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25">
      <c r="A56" s="332" t="s">
        <v>1204</v>
      </c>
      <c r="B56" s="322" t="s">
        <v>842</v>
      </c>
      <c r="C56" s="323">
        <f>'Расчет базового уровня'!D56</f>
        <v>14011.639233377266</v>
      </c>
      <c r="D56" s="333">
        <f>IF((IF(C142=0,0,B142/C142*D142)+IF(C141=0,0,B141/C141*D141))*0.024*$D$147&gt;C56,C56,(IF(C142=0,0,B142/C142*D142)+IF(C141=0,0,B141/C141*D141))*0.024*$D$147)</f>
        <v>11325.4037543662</v>
      </c>
      <c r="E56" s="74"/>
      <c r="F56" s="74"/>
      <c r="G56" s="334" t="s">
        <v>1204</v>
      </c>
      <c r="H56" s="326" t="s">
        <v>842</v>
      </c>
      <c r="I56" s="323">
        <f>'Расчет базового уровня'!J56</f>
        <v>2289.7453469638681</v>
      </c>
      <c r="J56" s="335">
        <f>IF((IF($C$142=0,0,$B$142/$C$142*$D$142)+IF($C$141=0,0,$B$141/$C$141*$D$141))*0.024*$G$147&gt;I56,I56,(IF($C$142=0,0,$B$142/$C$142*$D$142)+IF($C$141=0,0,$B$141/$C$141*$D$141))*0.024*$G$147)</f>
        <v>2143.134963380282</v>
      </c>
      <c r="K56" s="323">
        <f>'Расчет базового уровня'!M56</f>
        <v>2205.5396019591535</v>
      </c>
      <c r="L56" s="335">
        <f>IF((IF($C$142=0,0,$B$142/$C$142*$D$142)+IF($C$141=0,0,$B$141/$C$141*$D$141))*0.024*$H$147&gt;K56,K56,(IF($C$142=0,0,$B$142/$C$142*$D$142)+IF($C$141=0,0,$B$141/$C$141*$D$141))*0.024*$H$147)</f>
        <v>1811.2311887323947</v>
      </c>
      <c r="M56" s="323">
        <f>'Расчет базового уровня'!P56</f>
        <v>1576.8431623832712</v>
      </c>
      <c r="N56" s="335">
        <f>IF((IF($C$142=0,0,$B$142/$C$142*$D$142)+IF($C$141=0,0,$B$141/$C$141*$D$141))*0.024*$I$147&gt;M56,M56,(IF($C$142=0,0,$B$142/$C$142*$D$142)+IF($C$141=0,0,$B$141/$C$141*$D$141))*0.024*$I$147)</f>
        <v>1528.747727323944</v>
      </c>
      <c r="O56" s="323">
        <f>'Расчет базового уровня'!S56</f>
        <v>1375.0837359261384</v>
      </c>
      <c r="P56" s="335">
        <f>IF((IF($C$142=0,0,$B$142/$C$142*$D$142)+IF($C$141=0,0,$B$141/$C$141*$D$141))*0.024*$J$147&gt;O56,O56,(IF($C$142=0,0,$B$142/$C$142*$D$142)+IF($C$141=0,0,$B$141/$C$141*$D$141))*0.024*$J$147)</f>
        <v>502.46102535211276</v>
      </c>
      <c r="Q56" s="323">
        <f>'Расчет базового уровня'!V56</f>
        <v>413.69082713171804</v>
      </c>
      <c r="R56" s="335">
        <f>IF((IF($C$142=0,0,$B$142/$C$142*$D$142)+IF($C$141=0,0,$B$141/$C$141*$D$141))*0.024*$K$147&gt;Q56,Q56,(IF($C$142=0,0,$B$142/$C$142*$D$142)+IF($C$141=0,0,$B$141/$C$141*$D$141))*0.024*$K$147)</f>
        <v>276.11006197183099</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25.77073851694303</v>
      </c>
      <c r="Z56" s="335">
        <f>IF((IF($C$142=0,0,$B$142/$C$142*$D$142)+IF($C$141=0,0,$B$141/$C$141*$D$141))*0.024*$O$147&gt;Y56,Y56,(IF($C$142=0,0,$B$142/$C$142*$D$142)+IF($C$141=0,0,$B$141/$C$141*$D$141))*0.024*$O$147)</f>
        <v>0</v>
      </c>
      <c r="AA56" s="323">
        <f>'Расчет базового уровня'!AK56</f>
        <v>1321.0283661643407</v>
      </c>
      <c r="AB56" s="335">
        <f>IF((IF($C$142=0,0,$B$142/$C$142*$D$142)+IF($C$141=0,0,$B$141/$C$141*$D$141))*0.024*$P$147&gt;AA56,AA56,(IF($C$142=0,0,$B$142/$C$142*$D$142)+IF($C$141=0,0,$B$141/$C$141*$D$141))*0.024*$P$147)</f>
        <v>1220.2624901408453</v>
      </c>
      <c r="AC56" s="323">
        <f>'Расчет базового уровня'!AN56</f>
        <v>2005.6369987990186</v>
      </c>
      <c r="AD56" s="335">
        <f>IF((IF($C$142=0,0,$B$142/$C$142*$D$142)+IF($C$141=0,0,$B$141/$C$141*$D$141))*0.024*$Q$147&gt;AC56,AC56,(IF($C$142=0,0,$B$142/$C$142*$D$142)+IF($C$141=0,0,$B$141/$C$141*$D$141))*0.024*$Q$147)</f>
        <v>1961.5671887323949</v>
      </c>
      <c r="AE56" s="323">
        <f>'Расчет базового уровня'!AQ56</f>
        <v>2157.2094293147961</v>
      </c>
      <c r="AF56" s="335">
        <f>IF((IF($C$142=0,0,$B$142/$C$142*$D$142)+IF($C$141=0,0,$B$141/$C$141*$D$141))*0.024*$R$147&gt;AE56,AE56,(IF($C$142=0,0,$B$142/$C$142*$D$142)+IF($C$141=0,0,$B$141/$C$141*$D$141))*0.024*$R$147)</f>
        <v>1881.8891087323948</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25">
      <c r="A57" s="307" t="s">
        <v>1339</v>
      </c>
      <c r="B57" s="304" t="s">
        <v>842</v>
      </c>
      <c r="C57" s="308"/>
      <c r="D57" s="308">
        <f>C56-D56</f>
        <v>2686.2354790110658</v>
      </c>
      <c r="E57" s="74"/>
      <c r="F57" s="74"/>
      <c r="G57" s="307" t="s">
        <v>1339</v>
      </c>
      <c r="H57" s="304" t="s">
        <v>842</v>
      </c>
      <c r="I57" s="308"/>
      <c r="J57" s="308">
        <f>I56-J56</f>
        <v>146.6103835835861</v>
      </c>
      <c r="K57" s="308"/>
      <c r="L57" s="308">
        <f>K56-L56</f>
        <v>394.30841322675883</v>
      </c>
      <c r="M57" s="308"/>
      <c r="N57" s="308">
        <f>M56-N56</f>
        <v>48.095435059327201</v>
      </c>
      <c r="O57" s="308"/>
      <c r="P57" s="308">
        <f>O56-P56</f>
        <v>872.62271057402563</v>
      </c>
      <c r="Q57" s="308"/>
      <c r="R57" s="308">
        <f>Q56-R56</f>
        <v>137.58076515988705</v>
      </c>
      <c r="S57" s="308"/>
      <c r="T57" s="308">
        <f>S56-T56</f>
        <v>0</v>
      </c>
      <c r="U57" s="308"/>
      <c r="V57" s="308">
        <f>U56-V56</f>
        <v>0</v>
      </c>
      <c r="W57" s="308"/>
      <c r="X57" s="308">
        <f>W56-X56</f>
        <v>0</v>
      </c>
      <c r="Y57" s="308"/>
      <c r="Z57" s="308">
        <f>Y56-Z56</f>
        <v>25.77073851694303</v>
      </c>
      <c r="AA57" s="308"/>
      <c r="AB57" s="308">
        <f>AA56-AB56</f>
        <v>100.76587602349537</v>
      </c>
      <c r="AC57" s="308"/>
      <c r="AD57" s="308">
        <f>AC56-AD56</f>
        <v>44.069810066623631</v>
      </c>
      <c r="AE57" s="308"/>
      <c r="AF57" s="308">
        <f>AE56-AF56</f>
        <v>275.32032058240134</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75" thickBot="1" x14ac:dyDescent="0.3">
      <c r="A58" s="307" t="s">
        <v>874</v>
      </c>
      <c r="B58" s="309" t="s">
        <v>1181</v>
      </c>
      <c r="C58" s="310"/>
      <c r="D58" s="310">
        <f>IF(C56=0,0,D57/C56)</f>
        <v>0.19171457630825645</v>
      </c>
      <c r="E58" s="74"/>
      <c r="F58" s="74"/>
      <c r="G58" s="307" t="s">
        <v>874</v>
      </c>
      <c r="H58" s="309" t="s">
        <v>1181</v>
      </c>
      <c r="I58" s="310"/>
      <c r="J58" s="310">
        <f>IF(I56=0,0,J57/I56)</f>
        <v>6.4029121744034537E-2</v>
      </c>
      <c r="K58" s="310"/>
      <c r="L58" s="310">
        <f>IF(K56=0,0,L57/K56)</f>
        <v>0.17878092638939674</v>
      </c>
      <c r="M58" s="310"/>
      <c r="N58" s="310">
        <f>IF(M56=0,0,N57/M56)</f>
        <v>3.0501089903345133E-2</v>
      </c>
      <c r="O58" s="310"/>
      <c r="P58" s="310">
        <f>IF(O56=0,0,P57/O56)</f>
        <v>0.6345960524260742</v>
      </c>
      <c r="Q58" s="310"/>
      <c r="R58" s="310">
        <f>IF(Q56=0,0,R57/Q56)</f>
        <v>0.33256904948506799</v>
      </c>
      <c r="S58" s="310"/>
      <c r="T58" s="310">
        <f>IF(S56=0,0,T57/S56)</f>
        <v>0</v>
      </c>
      <c r="U58" s="310"/>
      <c r="V58" s="310">
        <f>IF(U56=0,0,V57/U56)</f>
        <v>0</v>
      </c>
      <c r="W58" s="310"/>
      <c r="X58" s="310">
        <f>IF(W56=0,0,X57/W56)</f>
        <v>0</v>
      </c>
      <c r="Y58" s="310"/>
      <c r="Z58" s="310">
        <f>IF(Y56=0,0,Z57/Y56)</f>
        <v>1</v>
      </c>
      <c r="AA58" s="310"/>
      <c r="AB58" s="310">
        <f>IF(AA56=0,0,AB57/AA56)</f>
        <v>7.6278359045440614E-2</v>
      </c>
      <c r="AC58" s="310"/>
      <c r="AD58" s="310">
        <f>IF(AC56=0,0,AD57/AC56)</f>
        <v>2.197297421867106E-2</v>
      </c>
      <c r="AE58" s="310"/>
      <c r="AF58" s="310">
        <f>IF(AE56=0,0,AF57/AE56)</f>
        <v>0.12762799793150012</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25">
      <c r="A59" s="332" t="s">
        <v>1205</v>
      </c>
      <c r="B59" s="322" t="s">
        <v>842</v>
      </c>
      <c r="C59" s="323">
        <f>'Расчет базового уровня'!D59</f>
        <v>1337.4018761440959</v>
      </c>
      <c r="D59" s="342">
        <f>IF(IF(C143=0,0,B143/C143*D143)*0.024*$D$147&gt;C59,C59,IF(C143=0,0,B143/C143*D143)*0.024*$D$147)</f>
        <v>1081.0024421052631</v>
      </c>
      <c r="E59" s="74"/>
      <c r="F59" s="74"/>
      <c r="G59" s="334" t="s">
        <v>1205</v>
      </c>
      <c r="H59" s="326" t="s">
        <v>842</v>
      </c>
      <c r="I59" s="323">
        <f>'Расчет базового уровня'!J59</f>
        <v>218.55470811915654</v>
      </c>
      <c r="J59" s="343">
        <f>IF($C143=0,0,MIN($B143/$C143*$D143*0.024*$G$147,I59))</f>
        <v>204.56084210526316</v>
      </c>
      <c r="K59" s="323">
        <f>'Расчет базового уровня'!M59</f>
        <v>210.51732437870518</v>
      </c>
      <c r="L59" s="343">
        <f>IF($C143=0,0,MIN($B143/$C143*$D143*0.024*$H$147,K59))</f>
        <v>172.88084210526316</v>
      </c>
      <c r="M59" s="323">
        <f>'Расчет базового уровня'!P59</f>
        <v>150.5086570265675</v>
      </c>
      <c r="N59" s="343">
        <f>IF($C143=0,0,MIN($B143/$C143*$D143*0.024*$I$147,M59))</f>
        <v>145.91797894736843</v>
      </c>
      <c r="O59" s="323">
        <f>'Расчет базового уровня'!S59</f>
        <v>131.25085064294655</v>
      </c>
      <c r="P59" s="343">
        <f>IF($C143=0,0,MIN($B143/$C143*$D143*0.024*$J$147,O59))</f>
        <v>47.959578947368421</v>
      </c>
      <c r="Q59" s="323">
        <f>'Расчет базового уровня'!V59</f>
        <v>39.4865211082234</v>
      </c>
      <c r="R59" s="343">
        <f>IF($C143=0,0,MIN($B143/$C143*$D143*0.024*$K$147,Q59))</f>
        <v>26.354526315789467</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2.4598002751938628</v>
      </c>
      <c r="Z59" s="343">
        <f>IF($C143=0,0,MIN($B143/$C143*$D143*0.024*$O$147,Y59))</f>
        <v>0</v>
      </c>
      <c r="AA59" s="323">
        <f>'Расчет базового уровня'!AK59</f>
        <v>126.09130066232193</v>
      </c>
      <c r="AB59" s="343">
        <f>IF($C143=0,0,MIN($B143/$C143*$D143*0.024*$P$147,AA59))</f>
        <v>116.47326315789475</v>
      </c>
      <c r="AC59" s="323">
        <f>'Расчет базового уровня'!AN59</f>
        <v>191.43675057435007</v>
      </c>
      <c r="AD59" s="343">
        <f>IF($C143=0,0,MIN($B143/$C143*$D143*0.024*$Q$147,AC59))</f>
        <v>187.23031578947371</v>
      </c>
      <c r="AE59" s="323">
        <f>'Расчет базового уровня'!AQ59</f>
        <v>205.90424074927807</v>
      </c>
      <c r="AF59" s="343">
        <f>IF($C143=0,0,MIN($B143/$C143*$D143*0.024*$R$147,AE59))</f>
        <v>179.62509473684213</v>
      </c>
      <c r="AG59" s="74"/>
      <c r="AH59" s="74"/>
      <c r="AI59" s="74"/>
      <c r="AJ59" s="74"/>
      <c r="AK59" s="74"/>
      <c r="AL59" s="74"/>
      <c r="AM59" s="74"/>
      <c r="AN59" s="74"/>
      <c r="AO59" s="74"/>
      <c r="AP59" s="74"/>
      <c r="AQ59" s="74"/>
      <c r="AR59" s="74"/>
      <c r="AS59" s="74"/>
      <c r="AT59" s="74"/>
      <c r="AU59" s="74"/>
    </row>
    <row r="60" spans="1:55" x14ac:dyDescent="0.25">
      <c r="A60" s="307" t="s">
        <v>1339</v>
      </c>
      <c r="B60" s="304" t="s">
        <v>842</v>
      </c>
      <c r="C60" s="308"/>
      <c r="D60" s="308">
        <f>C59-D59</f>
        <v>256.39943403883285</v>
      </c>
      <c r="E60" s="74"/>
      <c r="F60" s="74"/>
      <c r="G60" s="307" t="s">
        <v>1339</v>
      </c>
      <c r="H60" s="304" t="s">
        <v>842</v>
      </c>
      <c r="I60" s="308"/>
      <c r="J60" s="308">
        <f>I59-J59</f>
        <v>13.993866013893381</v>
      </c>
      <c r="K60" s="308"/>
      <c r="L60" s="308">
        <f>K59-L59</f>
        <v>37.636482273442027</v>
      </c>
      <c r="M60" s="308"/>
      <c r="N60" s="308">
        <f>M59-N59</f>
        <v>4.5906780791990798</v>
      </c>
      <c r="O60" s="308"/>
      <c r="P60" s="308">
        <f>O59-P59</f>
        <v>83.291271695578132</v>
      </c>
      <c r="Q60" s="308"/>
      <c r="R60" s="308">
        <f>Q59-R59</f>
        <v>13.131994792433932</v>
      </c>
      <c r="S60" s="308"/>
      <c r="T60" s="308">
        <f>S59-T59</f>
        <v>0</v>
      </c>
      <c r="U60" s="308"/>
      <c r="V60" s="308">
        <f>U59-V59</f>
        <v>0</v>
      </c>
      <c r="W60" s="308"/>
      <c r="X60" s="308">
        <f>W59-X59</f>
        <v>0</v>
      </c>
      <c r="Y60" s="308"/>
      <c r="Z60" s="308">
        <f>Y59-Z59</f>
        <v>2.4598002751938628</v>
      </c>
      <c r="AA60" s="308"/>
      <c r="AB60" s="308">
        <f>AA59-AB59</f>
        <v>9.6180375044271784</v>
      </c>
      <c r="AC60" s="308"/>
      <c r="AD60" s="308">
        <f>AC59-AD59</f>
        <v>4.2064347848763646</v>
      </c>
      <c r="AE60" s="308"/>
      <c r="AF60" s="308">
        <f>AE59-AF59</f>
        <v>26.279146012435945</v>
      </c>
      <c r="AG60" s="74"/>
      <c r="AH60" s="74"/>
      <c r="AI60" s="74"/>
      <c r="AJ60" s="74"/>
      <c r="AK60" s="74"/>
      <c r="AL60" s="74"/>
      <c r="AM60" s="74"/>
      <c r="AN60" s="74"/>
      <c r="AO60" s="74"/>
      <c r="AP60" s="74"/>
      <c r="AQ60" s="74"/>
      <c r="AR60" s="74"/>
      <c r="AS60" s="74"/>
      <c r="AT60" s="74"/>
      <c r="AU60" s="74"/>
    </row>
    <row r="61" spans="1:55" ht="15.75" thickBot="1" x14ac:dyDescent="0.3">
      <c r="A61" s="307" t="s">
        <v>874</v>
      </c>
      <c r="B61" s="309" t="s">
        <v>1181</v>
      </c>
      <c r="C61" s="310"/>
      <c r="D61" s="310">
        <f>IF(C59=0,0,D60/C59)</f>
        <v>0.19171457630825661</v>
      </c>
      <c r="E61" s="74"/>
      <c r="F61" s="74"/>
      <c r="G61" s="307" t="s">
        <v>874</v>
      </c>
      <c r="H61" s="309" t="s">
        <v>1181</v>
      </c>
      <c r="I61" s="310"/>
      <c r="J61" s="310">
        <f>IF(I59=0,0,J60/I59)</f>
        <v>6.4029121744034412E-2</v>
      </c>
      <c r="K61" s="310"/>
      <c r="L61" s="310">
        <f>IF(K59=0,0,L60/K59)</f>
        <v>0.17878092638939663</v>
      </c>
      <c r="M61" s="310"/>
      <c r="N61" s="310">
        <f>IF(M59=0,0,N60/M59)</f>
        <v>3.0501089903345175E-2</v>
      </c>
      <c r="O61" s="310"/>
      <c r="P61" s="310">
        <f>IF(O59=0,0,P60/O59)</f>
        <v>0.63459605242607409</v>
      </c>
      <c r="Q61" s="310"/>
      <c r="R61" s="310">
        <f>IF(Q59=0,0,R60/Q59)</f>
        <v>0.33256904948506805</v>
      </c>
      <c r="S61" s="310"/>
      <c r="T61" s="310">
        <f>IF(S59=0,0,T60/S59)</f>
        <v>0</v>
      </c>
      <c r="U61" s="310"/>
      <c r="V61" s="310">
        <f>IF(U59=0,0,V60/U59)</f>
        <v>0</v>
      </c>
      <c r="W61" s="310"/>
      <c r="X61" s="310">
        <f>IF(W59=0,0,X60/W59)</f>
        <v>0</v>
      </c>
      <c r="Y61" s="310"/>
      <c r="Z61" s="310">
        <f>IF(Y59=0,0,Z60/Y59)</f>
        <v>1</v>
      </c>
      <c r="AA61" s="310"/>
      <c r="AB61" s="310">
        <f>IF(AA59=0,0,AB60/AA59)</f>
        <v>7.6278359045440475E-2</v>
      </c>
      <c r="AC61" s="310"/>
      <c r="AD61" s="310">
        <f>IF(AC59=0,0,AD60/AC59)</f>
        <v>2.1972974218671101E-2</v>
      </c>
      <c r="AE61" s="310"/>
      <c r="AF61" s="310">
        <f>IF(AE59=0,0,AF60/AE59)</f>
        <v>0.12762799793150001</v>
      </c>
      <c r="AG61" s="74"/>
      <c r="AH61" s="74"/>
      <c r="AI61" s="74"/>
      <c r="AJ61" s="74"/>
      <c r="AK61" s="74"/>
      <c r="AL61" s="74"/>
      <c r="AM61" s="74"/>
      <c r="AN61" s="74"/>
      <c r="AO61" s="74"/>
      <c r="AP61" s="74"/>
      <c r="AQ61" s="74"/>
      <c r="AR61" s="74"/>
      <c r="AS61" s="74"/>
      <c r="AT61" s="74"/>
      <c r="AU61" s="74"/>
    </row>
    <row r="62" spans="1:55" ht="24.75" customHeight="1" x14ac:dyDescent="0.25">
      <c r="A62" s="329" t="s">
        <v>1198</v>
      </c>
      <c r="B62" s="322" t="s">
        <v>842</v>
      </c>
      <c r="C62" s="323">
        <f>'Расчет базового уровня'!D62</f>
        <v>196380.69928560589</v>
      </c>
      <c r="D62" s="324">
        <f>IF((D151*D152*'Ввод исходных данных'!$D$22*0.28)*D147*0.024+D190*D154+D161&gt;C62,C62,(D151*D152*'Ввод исходных данных'!$D$22*0.28)*D147*0.024+D190*D154+D161)</f>
        <v>158954.19808092591</v>
      </c>
      <c r="E62" s="74"/>
      <c r="F62" s="74"/>
      <c r="G62" s="344" t="s">
        <v>1198</v>
      </c>
      <c r="H62" s="326" t="s">
        <v>842</v>
      </c>
      <c r="I62" s="323">
        <f>'Расчет базового уровня'!J62</f>
        <v>32092.018994578651</v>
      </c>
      <c r="J62" s="328">
        <f>MIN(I62,($D$151*$D$152*'Ввод исходных данных'!$D$22*0.28)*$G$147*0.024+$G$190*$D$154+$G$161)</f>
        <v>30037.195203362913</v>
      </c>
      <c r="K62" s="323">
        <f>'Расчет базового уровня'!M62</f>
        <v>30911.829952278749</v>
      </c>
      <c r="L62" s="328">
        <f>MIN(K62,($D$151*$D$152*'Ввод исходных данных'!$D$22*0.28)*$H$147*0.024+$H$190*$D$154+$H$161)</f>
        <v>25385.384357018855</v>
      </c>
      <c r="M62" s="323">
        <f>'Расчет базового уровня'!P62</f>
        <v>22100.309445229301</v>
      </c>
      <c r="N62" s="328">
        <f>MIN(M62,($D$151*$D$152*'Ввод исходных данных'!$D$22*0.28)*$I$147*0.024+$I$190*$D$154+$I$161)</f>
        <v>21426.225919948611</v>
      </c>
      <c r="O62" s="323">
        <f>'Расчет базового уровня'!S62</f>
        <v>19272.542001664853</v>
      </c>
      <c r="P62" s="328">
        <f>MIN(O62,($D$151*$D$152*'Ввод исходных данных'!$D$22*0.28)*$J$147*0.024+$J$190*$D$154+$J$161)</f>
        <v>7042.262927192628</v>
      </c>
      <c r="Q62" s="323">
        <f>'Расчет базового уровня'!V62</f>
        <v>5798.1006052912599</v>
      </c>
      <c r="R62" s="328">
        <f>MIN(Q62,($D$151*$D$152*'Ввод исходных данных'!$D$22*0.28)*$K$147*0.024+$K$190*$D$154+$K$161)</f>
        <v>3869.8317981707487</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361.19083333291996</v>
      </c>
      <c r="Z62" s="328">
        <f>MIN(Y62,($D$151*$D$152*'Ввод исходных данных'!$D$22*0.28)*$O$147*0.024+$O$190*$D$154+$O$161)</f>
        <v>0</v>
      </c>
      <c r="AA62" s="323">
        <f>'Расчет базового уровня'!AK62</f>
        <v>18514.926769274574</v>
      </c>
      <c r="AB62" s="328">
        <f>MIN(AA62,($D$151*$D$152*'Ввод исходных данных'!$D$22*0.28)*$P$147*0.024+$P$190*$D$154+$P$161)</f>
        <v>17102.638537467814</v>
      </c>
      <c r="AC62" s="323">
        <f>'Расчет базового уровня'!AN62</f>
        <v>28110.086891118164</v>
      </c>
      <c r="AD62" s="328">
        <f>MIN(AC62,($D$151*$D$152*'Ввод исходных данных'!$D$22*0.28)*$Q$147*0.024+$Q$190*$D$154+$Q$161)</f>
        <v>27492.424676575014</v>
      </c>
      <c r="AE62" s="323">
        <f>'Расчет базового уровня'!AQ62</f>
        <v>30234.456452832368</v>
      </c>
      <c r="AF62" s="328">
        <f>MIN(AE62,($D$151*$D$152*'Ввод исходных данных'!$D$22*0.28)*$R$147*0.024+$R$190*$D$154+$R$161)</f>
        <v>26375.693307210251</v>
      </c>
      <c r="AG62" s="74"/>
      <c r="AH62" s="74"/>
      <c r="AI62" s="74"/>
      <c r="AJ62" s="74"/>
      <c r="AK62" s="74"/>
      <c r="AL62" s="74"/>
      <c r="AM62" s="74"/>
      <c r="AN62" s="74"/>
      <c r="AO62" s="74"/>
      <c r="AP62" s="74"/>
      <c r="AQ62" s="74"/>
      <c r="AR62" s="74"/>
      <c r="AS62" s="74"/>
      <c r="AT62" s="74"/>
      <c r="AU62" s="74"/>
    </row>
    <row r="63" spans="1:55" x14ac:dyDescent="0.25">
      <c r="A63" s="307" t="s">
        <v>1339</v>
      </c>
      <c r="B63" s="304" t="s">
        <v>842</v>
      </c>
      <c r="C63" s="308"/>
      <c r="D63" s="308">
        <f>C62-D62</f>
        <v>37426.501204679982</v>
      </c>
      <c r="E63" s="317"/>
      <c r="F63" s="74"/>
      <c r="G63" s="307" t="s">
        <v>1339</v>
      </c>
      <c r="H63" s="304" t="s">
        <v>842</v>
      </c>
      <c r="I63" s="308"/>
      <c r="J63" s="308">
        <f>I62-J62</f>
        <v>2054.8237912157383</v>
      </c>
      <c r="K63" s="308"/>
      <c r="L63" s="308">
        <f>K62-L62</f>
        <v>5526.4455952598946</v>
      </c>
      <c r="M63" s="308"/>
      <c r="N63" s="308">
        <f>M62-N62</f>
        <v>674.08352528069008</v>
      </c>
      <c r="O63" s="308"/>
      <c r="P63" s="308">
        <f>O62-P62</f>
        <v>12230.279074472226</v>
      </c>
      <c r="Q63" s="308"/>
      <c r="R63" s="308">
        <f>Q62-R62</f>
        <v>1928.2688071205112</v>
      </c>
      <c r="S63" s="308"/>
      <c r="T63" s="308">
        <f>S62-T62</f>
        <v>0</v>
      </c>
      <c r="U63" s="308"/>
      <c r="V63" s="308">
        <f>U62-V62</f>
        <v>0</v>
      </c>
      <c r="W63" s="308"/>
      <c r="X63" s="308">
        <f>W62-X62</f>
        <v>0</v>
      </c>
      <c r="Y63" s="308"/>
      <c r="Z63" s="308">
        <f>Y62-Z62</f>
        <v>361.19083333291996</v>
      </c>
      <c r="AA63" s="308"/>
      <c r="AB63" s="308">
        <f>AA62-AB62</f>
        <v>1412.2882318067605</v>
      </c>
      <c r="AC63" s="308"/>
      <c r="AD63" s="308">
        <f>AC62-AD62</f>
        <v>617.66221454315018</v>
      </c>
      <c r="AE63" s="308"/>
      <c r="AF63" s="308">
        <f>AE62-AF62</f>
        <v>3858.763145622117</v>
      </c>
      <c r="AG63" s="74"/>
      <c r="AH63" s="74"/>
      <c r="AI63" s="74"/>
      <c r="AJ63" s="74"/>
      <c r="AK63" s="74"/>
      <c r="AL63" s="74"/>
      <c r="AM63" s="74"/>
      <c r="AN63" s="74"/>
      <c r="AO63" s="74"/>
      <c r="AP63" s="74"/>
      <c r="AQ63" s="74"/>
      <c r="AR63" s="74"/>
      <c r="AS63" s="74"/>
      <c r="AT63" s="74"/>
      <c r="AU63" s="74"/>
    </row>
    <row r="64" spans="1:55" ht="15.75" thickBot="1" x14ac:dyDescent="0.3">
      <c r="A64" s="307" t="s">
        <v>874</v>
      </c>
      <c r="B64" s="309" t="s">
        <v>1181</v>
      </c>
      <c r="C64" s="310"/>
      <c r="D64" s="310">
        <f>IF(C62=0,0,D63/C62)</f>
        <v>0.19058136232751072</v>
      </c>
      <c r="E64" s="74"/>
      <c r="F64" s="74"/>
      <c r="G64" s="307" t="s">
        <v>874</v>
      </c>
      <c r="H64" s="309" t="s">
        <v>1181</v>
      </c>
      <c r="I64" s="310"/>
      <c r="J64" s="310">
        <f>IF(I62=0,0,J63/I62)</f>
        <v>6.4029121744034315E-2</v>
      </c>
      <c r="K64" s="310"/>
      <c r="L64" s="310">
        <f>IF(K62=0,0,L63/K62)</f>
        <v>0.17878092638939669</v>
      </c>
      <c r="M64" s="310"/>
      <c r="N64" s="310">
        <f>IF(M62=0,0,N63/M62)</f>
        <v>3.0501089903345296E-2</v>
      </c>
      <c r="O64" s="310"/>
      <c r="P64" s="310">
        <f>IF(O62=0,0,P63/O62)</f>
        <v>0.6345960524260742</v>
      </c>
      <c r="Q64" s="310"/>
      <c r="R64" s="310">
        <f>IF(Q62=0,0,R63/Q62)</f>
        <v>0.33256904948506788</v>
      </c>
      <c r="S64" s="310"/>
      <c r="T64" s="310">
        <f>IF(S62=0,0,T63/S62)</f>
        <v>0</v>
      </c>
      <c r="U64" s="310"/>
      <c r="V64" s="310">
        <f>IF(U62=0,0,V63/U62)</f>
        <v>0</v>
      </c>
      <c r="W64" s="310"/>
      <c r="X64" s="310">
        <f>IF(W62=0,0,X63/W62)</f>
        <v>0</v>
      </c>
      <c r="Y64" s="310"/>
      <c r="Z64" s="310">
        <f>IF(Y62=0,0,Z63/Y62)</f>
        <v>1</v>
      </c>
      <c r="AA64" s="310"/>
      <c r="AB64" s="310">
        <f>IF(AA62=0,0,AB63/AA62)</f>
        <v>7.6278359045440322E-2</v>
      </c>
      <c r="AC64" s="310"/>
      <c r="AD64" s="310">
        <f>IF(AC62=0,0,AD63/AC62)</f>
        <v>2.1972974218671323E-2</v>
      </c>
      <c r="AE64" s="310"/>
      <c r="AF64" s="310">
        <f>IF(AE62=0,0,AF63/AE62)</f>
        <v>0.12762799793150004</v>
      </c>
      <c r="AG64" s="74"/>
      <c r="AH64" s="74"/>
      <c r="AI64" s="74"/>
      <c r="AJ64" s="74"/>
      <c r="AK64" s="74"/>
      <c r="AL64" s="74"/>
      <c r="AM64" s="74"/>
      <c r="AN64" s="74"/>
      <c r="AO64" s="74"/>
      <c r="AP64" s="74"/>
      <c r="AQ64" s="74"/>
      <c r="AR64" s="74"/>
      <c r="AS64" s="74"/>
      <c r="AT64" s="74"/>
      <c r="AU64" s="74"/>
    </row>
    <row r="65" spans="1:47" ht="45.75" customHeight="1" x14ac:dyDescent="0.25">
      <c r="A65" s="329" t="s">
        <v>1206</v>
      </c>
      <c r="B65" s="322" t="s">
        <v>842</v>
      </c>
      <c r="C65" s="323">
        <f>'Расчет базового уровня'!D65</f>
        <v>44038.565752901755</v>
      </c>
      <c r="D65" s="324">
        <f>IF((D62+D38-D71*$D$156)*($D$158-1)&gt;C65,C65,(D62+D38-D71*$D$156)*($D$158-1))</f>
        <v>19498.802592228953</v>
      </c>
      <c r="E65" s="74"/>
      <c r="F65" s="74"/>
      <c r="G65" s="345" t="s">
        <v>1206</v>
      </c>
      <c r="H65" s="346" t="s">
        <v>842</v>
      </c>
      <c r="I65" s="323">
        <f>'Расчет базового уровня'!J65</f>
        <v>7544.7123895160075</v>
      </c>
      <c r="J65" s="347">
        <f>MIN(I65,(J62+J38-J71*$D$156)*($D$158-1))</f>
        <v>3881.4566856399097</v>
      </c>
      <c r="K65" s="323">
        <f>'Расчет базового уровня'!M65</f>
        <v>7222.0993500162867</v>
      </c>
      <c r="L65" s="347">
        <f>MIN(K65,(L62+L38-L71*$D$156)*($D$158-1))</f>
        <v>3248.0939218261906</v>
      </c>
      <c r="M65" s="323">
        <f>'Расчет базового уровня'!P65</f>
        <v>4966.4668242731605</v>
      </c>
      <c r="N65" s="347">
        <f>MIN(M65,(N62+N38-N71*$D$156)*($D$158-1))</f>
        <v>2609.5989336769831</v>
      </c>
      <c r="O65" s="323">
        <f>'Расчет базового уровня'!S65</f>
        <v>3799.0753311659382</v>
      </c>
      <c r="P65" s="347">
        <f>MIN(O65,(P62+P38-P71*$D$156)*($D$158-1))</f>
        <v>502.96461890268256</v>
      </c>
      <c r="Q65" s="323">
        <f>'Расчет базового уровня'!V65</f>
        <v>-2514.7056159827712</v>
      </c>
      <c r="R65" s="347">
        <f>MIN(Q65,(R62+R38-R71*$D$156)*($D$158-1))</f>
        <v>-2514.7056159827712</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96.027522935779885</v>
      </c>
      <c r="Z65" s="347">
        <f>MIN(Y65,(Z62+Z38-Z71*$D$156)*($D$158-1))</f>
        <v>0</v>
      </c>
      <c r="AA65" s="323">
        <f>'Расчет базового уровня'!AK65</f>
        <v>3666.9481417200559</v>
      </c>
      <c r="AB65" s="347">
        <f>MIN(AA65,(AB62+AB38-AB71*$D$156)*($D$158-1))</f>
        <v>1988.9026459065155</v>
      </c>
      <c r="AC65" s="323">
        <f>'Расчет базового уровня'!AN65</f>
        <v>6271.4779184242652</v>
      </c>
      <c r="AD65" s="347">
        <f>MIN(AC65,(AD62+AD38-AD71*$D$156)*($D$158-1))</f>
        <v>3523.4952808741905</v>
      </c>
      <c r="AE65" s="323">
        <f>'Расчет базового уровня'!AQ65</f>
        <v>7027.8629345138252</v>
      </c>
      <c r="AF65" s="347">
        <f>MIN(AE65,(AF62+AF38-AF71*$D$156)*($D$158-1))</f>
        <v>3340.6453765787505</v>
      </c>
      <c r="AG65" s="74"/>
      <c r="AH65" s="74"/>
      <c r="AI65" s="74"/>
      <c r="AJ65" s="74"/>
      <c r="AK65" s="74"/>
      <c r="AL65" s="74"/>
      <c r="AM65" s="74"/>
      <c r="AN65" s="74"/>
      <c r="AO65" s="74"/>
      <c r="AP65" s="74"/>
      <c r="AQ65" s="74"/>
      <c r="AR65" s="74"/>
      <c r="AS65" s="74"/>
      <c r="AT65" s="74"/>
      <c r="AU65" s="74"/>
    </row>
    <row r="66" spans="1:47" x14ac:dyDescent="0.25">
      <c r="A66" s="307" t="s">
        <v>1339</v>
      </c>
      <c r="B66" s="304" t="s">
        <v>842</v>
      </c>
      <c r="C66" s="308"/>
      <c r="D66" s="308">
        <f>C65-D65</f>
        <v>24539.763160672803</v>
      </c>
      <c r="E66" s="74"/>
      <c r="F66" s="74"/>
      <c r="G66" s="307" t="s">
        <v>1339</v>
      </c>
      <c r="H66" s="304" t="s">
        <v>842</v>
      </c>
      <c r="I66" s="308"/>
      <c r="J66" s="308">
        <f>I65-J65</f>
        <v>3663.2557038760979</v>
      </c>
      <c r="K66" s="308"/>
      <c r="L66" s="308">
        <f>K65-L65</f>
        <v>3974.0054281900962</v>
      </c>
      <c r="M66" s="308"/>
      <c r="N66" s="308">
        <f>M65-N65</f>
        <v>2356.8678905961774</v>
      </c>
      <c r="O66" s="308"/>
      <c r="P66" s="308">
        <f>O65-P65</f>
        <v>3296.1107122632557</v>
      </c>
      <c r="Q66" s="308"/>
      <c r="R66" s="308">
        <f>Q65-R65</f>
        <v>0</v>
      </c>
      <c r="S66" s="308"/>
      <c r="T66" s="308">
        <f>S65-T65</f>
        <v>0</v>
      </c>
      <c r="U66" s="308"/>
      <c r="V66" s="308">
        <f>U65-V65</f>
        <v>0</v>
      </c>
      <c r="W66" s="308"/>
      <c r="X66" s="308">
        <f>W65-X65</f>
        <v>0</v>
      </c>
      <c r="Y66" s="308"/>
      <c r="Z66" s="308">
        <f>Y65-Z65</f>
        <v>96.027522935779885</v>
      </c>
      <c r="AA66" s="308"/>
      <c r="AB66" s="308">
        <f>AA65-AB65</f>
        <v>1678.0454958135404</v>
      </c>
      <c r="AC66" s="308"/>
      <c r="AD66" s="308">
        <f>AC65-AD65</f>
        <v>2747.9826375500747</v>
      </c>
      <c r="AE66" s="308"/>
      <c r="AF66" s="308">
        <f>AE65-AF65</f>
        <v>3687.2175579350746</v>
      </c>
      <c r="AG66" s="74"/>
      <c r="AH66" s="74"/>
      <c r="AI66" s="74"/>
      <c r="AJ66" s="74"/>
      <c r="AK66" s="74"/>
      <c r="AL66" s="74"/>
      <c r="AM66" s="74"/>
      <c r="AN66" s="74"/>
      <c r="AO66" s="74"/>
      <c r="AP66" s="74"/>
      <c r="AQ66" s="74"/>
      <c r="AR66" s="74"/>
      <c r="AS66" s="74"/>
      <c r="AT66" s="74"/>
      <c r="AU66" s="74"/>
    </row>
    <row r="67" spans="1:47" ht="18" customHeight="1" thickBot="1" x14ac:dyDescent="0.3">
      <c r="A67" s="307" t="s">
        <v>874</v>
      </c>
      <c r="B67" s="309" t="s">
        <v>1181</v>
      </c>
      <c r="C67" s="310"/>
      <c r="D67" s="310">
        <f>IF(C65=0,0,D66/C65)</f>
        <v>0.55723347800117329</v>
      </c>
      <c r="E67" s="74"/>
      <c r="F67" s="74"/>
      <c r="G67" s="307" t="s">
        <v>874</v>
      </c>
      <c r="H67" s="309" t="s">
        <v>1181</v>
      </c>
      <c r="I67" s="310"/>
      <c r="J67" s="310">
        <f>IF(I65=0,0,J66/I65)</f>
        <v>0.48553947649038154</v>
      </c>
      <c r="K67" s="310"/>
      <c r="L67" s="310">
        <f>IF(K65=0,0,L66/K65)</f>
        <v>0.5502562669926625</v>
      </c>
      <c r="M67" s="310"/>
      <c r="N67" s="310">
        <f>IF(M65=0,0,N66/M65)</f>
        <v>0.47455625376921823</v>
      </c>
      <c r="O67" s="310"/>
      <c r="P67" s="310">
        <f>IF(O65=0,0,P66/O65)</f>
        <v>0.86760867446439327</v>
      </c>
      <c r="Q67" s="310"/>
      <c r="R67" s="310">
        <f>IF(Q65=0,0,R66/Q65)</f>
        <v>0</v>
      </c>
      <c r="S67" s="310"/>
      <c r="T67" s="310">
        <f>IF(S65=0,0,T66/S65)</f>
        <v>0</v>
      </c>
      <c r="U67" s="310"/>
      <c r="V67" s="310">
        <f>IF(U65=0,0,V66/U65)</f>
        <v>0</v>
      </c>
      <c r="W67" s="310"/>
      <c r="X67" s="310">
        <f>IF(W65=0,0,X66/W65)</f>
        <v>0</v>
      </c>
      <c r="Y67" s="310"/>
      <c r="Z67" s="310">
        <f>IF(Y65=0,0,Z66/Y65)</f>
        <v>1</v>
      </c>
      <c r="AA67" s="310"/>
      <c r="AB67" s="310">
        <f>IF(AA65=0,0,AB66/AA65)</f>
        <v>0.45761364245157266</v>
      </c>
      <c r="AC67" s="310"/>
      <c r="AD67" s="310">
        <f>IF(AC65=0,0,AD66/AC65)</f>
        <v>0.43817146026729803</v>
      </c>
      <c r="AE67" s="310"/>
      <c r="AF67" s="310">
        <f>IF(AE65=0,0,AF66/AE65)</f>
        <v>0.52465701057246783</v>
      </c>
      <c r="AG67" s="74"/>
      <c r="AH67" s="74"/>
      <c r="AI67" s="74"/>
      <c r="AJ67" s="74"/>
      <c r="AK67" s="74"/>
      <c r="AL67" s="74"/>
      <c r="AM67" s="74"/>
      <c r="AN67" s="74"/>
      <c r="AO67" s="74"/>
      <c r="AP67" s="74"/>
      <c r="AQ67" s="74"/>
      <c r="AR67" s="74"/>
      <c r="AS67" s="74"/>
      <c r="AT67" s="74"/>
      <c r="AU67" s="74"/>
    </row>
    <row r="68" spans="1:47" ht="45.6" customHeight="1" x14ac:dyDescent="0.25">
      <c r="A68" s="329" t="s">
        <v>1200</v>
      </c>
      <c r="B68" s="322" t="s">
        <v>842</v>
      </c>
      <c r="C68" s="323">
        <f>'Расчет базового уровня'!D68</f>
        <v>90799.210996317444</v>
      </c>
      <c r="D68" s="348">
        <f>IF(D71*(1-$D$156)&gt;C68,C68,D71*(1-$D$156))</f>
        <v>79146.287999999986</v>
      </c>
      <c r="E68" s="74"/>
      <c r="F68" s="74"/>
      <c r="G68" s="345" t="s">
        <v>1200</v>
      </c>
      <c r="H68" s="346" t="s">
        <v>842</v>
      </c>
      <c r="I68" s="323">
        <f>'Расчет базового уровня'!J68</f>
        <v>10970.99747459756</v>
      </c>
      <c r="J68" s="349">
        <f>MIN(I68,J71*(1-$D$156))</f>
        <v>10970.99747459756</v>
      </c>
      <c r="K68" s="323">
        <f>'Расчет базового уровня'!M68</f>
        <v>11069.260158234742</v>
      </c>
      <c r="L68" s="349">
        <f>MIN(K68,L71*(1-$D$156))</f>
        <v>10027.583999999999</v>
      </c>
      <c r="M68" s="323">
        <f>'Расчет базового уровня'!P68</f>
        <v>10102.252230790331</v>
      </c>
      <c r="N68" s="349">
        <f>MIN(M68,N71*(1-$D$156))</f>
        <v>10102.252230790331</v>
      </c>
      <c r="O68" s="323">
        <f>'Расчет базового уровня'!S68</f>
        <v>14719.928272384066</v>
      </c>
      <c r="P68" s="349">
        <f>MIN(O68,P71*(1-$D$156))</f>
        <v>10743.839999999998</v>
      </c>
      <c r="Q68" s="323">
        <f>'Расчет базового уровня'!V68</f>
        <v>45068.999563451209</v>
      </c>
      <c r="R68" s="349">
        <f>MIN(Q68,R71*(1-$D$156))</f>
        <v>7162.5599999999986</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13949.981808473016</v>
      </c>
      <c r="AB68" s="349">
        <f>MIN(AA68,AB71*(1-$D$156))</f>
        <v>10743.839999999998</v>
      </c>
      <c r="AC68" s="323">
        <f>'Расчет базового уровня'!AN68</f>
        <v>13355.257049541973</v>
      </c>
      <c r="AD68" s="349">
        <f>MIN(AC68,AD71*(1-$D$156))</f>
        <v>10743.839999999998</v>
      </c>
      <c r="AE68" s="323">
        <f>'Расчет базового уровня'!AQ68</f>
        <v>11226.453563221889</v>
      </c>
      <c r="AF68" s="349">
        <f>MIN(AE68,AF71*(1-$D$156))</f>
        <v>11101.967999999999</v>
      </c>
      <c r="AG68" s="74"/>
      <c r="AH68" s="74"/>
      <c r="AI68" s="74"/>
      <c r="AJ68" s="74"/>
      <c r="AK68" s="74"/>
      <c r="AL68" s="74"/>
      <c r="AM68" s="74"/>
      <c r="AN68" s="74"/>
      <c r="AO68" s="74"/>
      <c r="AP68" s="74"/>
      <c r="AQ68" s="74"/>
      <c r="AR68" s="74"/>
      <c r="AS68" s="74"/>
      <c r="AT68" s="74"/>
      <c r="AU68" s="74"/>
    </row>
    <row r="69" spans="1:47" x14ac:dyDescent="0.25">
      <c r="A69" s="307" t="s">
        <v>1339</v>
      </c>
      <c r="B69" s="304" t="s">
        <v>842</v>
      </c>
      <c r="C69" s="308"/>
      <c r="D69" s="308">
        <f>C68-D68</f>
        <v>11652.922996317458</v>
      </c>
      <c r="E69" s="74"/>
      <c r="F69" s="74"/>
      <c r="G69" s="307" t="s">
        <v>1339</v>
      </c>
      <c r="H69" s="304" t="s">
        <v>842</v>
      </c>
      <c r="I69" s="308"/>
      <c r="J69" s="308">
        <f>I68-J68</f>
        <v>0</v>
      </c>
      <c r="K69" s="308"/>
      <c r="L69" s="308">
        <f>K68-L68</f>
        <v>1041.6761582347426</v>
      </c>
      <c r="M69" s="308"/>
      <c r="N69" s="308">
        <f>M68-N68</f>
        <v>0</v>
      </c>
      <c r="O69" s="308"/>
      <c r="P69" s="308">
        <f>O68-P68</f>
        <v>3976.0882723840677</v>
      </c>
      <c r="Q69" s="308"/>
      <c r="R69" s="308">
        <f>Q68-R68</f>
        <v>37906.439563451211</v>
      </c>
      <c r="S69" s="308"/>
      <c r="T69" s="308">
        <f>S68-T68</f>
        <v>0</v>
      </c>
      <c r="U69" s="308"/>
      <c r="V69" s="308">
        <f>U68-V68</f>
        <v>0</v>
      </c>
      <c r="W69" s="308"/>
      <c r="X69" s="308">
        <f>W68-X68</f>
        <v>0</v>
      </c>
      <c r="Y69" s="308"/>
      <c r="Z69" s="308">
        <f>Y68-Z68</f>
        <v>0</v>
      </c>
      <c r="AA69" s="308"/>
      <c r="AB69" s="308">
        <f>AA68-AB68</f>
        <v>3206.1418084730176</v>
      </c>
      <c r="AC69" s="308"/>
      <c r="AD69" s="308">
        <f>AC68-AD68</f>
        <v>2611.4170495419748</v>
      </c>
      <c r="AE69" s="308"/>
      <c r="AF69" s="308">
        <f>AE68-AF68</f>
        <v>124.48556322188961</v>
      </c>
      <c r="AG69" s="74"/>
      <c r="AH69" s="74"/>
      <c r="AI69" s="74"/>
      <c r="AJ69" s="74"/>
      <c r="AK69" s="74"/>
      <c r="AL69" s="74"/>
      <c r="AM69" s="74"/>
      <c r="AN69" s="74"/>
      <c r="AO69" s="74"/>
      <c r="AP69" s="74"/>
      <c r="AQ69" s="74"/>
      <c r="AR69" s="74"/>
      <c r="AS69" s="74"/>
      <c r="AT69" s="74"/>
      <c r="AU69" s="74"/>
    </row>
    <row r="70" spans="1:47" ht="15" customHeight="1" thickBot="1" x14ac:dyDescent="0.3">
      <c r="A70" s="307" t="s">
        <v>874</v>
      </c>
      <c r="B70" s="309" t="s">
        <v>1181</v>
      </c>
      <c r="C70" s="310"/>
      <c r="D70" s="310">
        <f>IF(C68=0,0,D69/C68)</f>
        <v>0.128337271529706</v>
      </c>
      <c r="E70" s="74"/>
      <c r="F70" s="74"/>
      <c r="G70" s="307" t="s">
        <v>874</v>
      </c>
      <c r="H70" s="309" t="s">
        <v>1181</v>
      </c>
      <c r="I70" s="310"/>
      <c r="J70" s="310">
        <f>IF(I68=0,0,J69/I68)</f>
        <v>0</v>
      </c>
      <c r="K70" s="310"/>
      <c r="L70" s="310">
        <f>IF(K68=0,0,L69/K68)</f>
        <v>9.4105309961462033E-2</v>
      </c>
      <c r="M70" s="310"/>
      <c r="N70" s="310">
        <f>IF(M68=0,0,N69/M68)</f>
        <v>0</v>
      </c>
      <c r="O70" s="310"/>
      <c r="P70" s="310">
        <f>IF(O68=0,0,P69/O68)</f>
        <v>0.27011600863868157</v>
      </c>
      <c r="Q70" s="310"/>
      <c r="R70" s="310">
        <f>IF(Q68=0,0,R69/Q68)</f>
        <v>0.8410756824118969</v>
      </c>
      <c r="S70" s="310"/>
      <c r="T70" s="310">
        <f>IF(S68=0,0,T69/S68)</f>
        <v>0</v>
      </c>
      <c r="U70" s="310"/>
      <c r="V70" s="310">
        <f>IF(U68=0,0,V69/U68)</f>
        <v>0</v>
      </c>
      <c r="W70" s="310"/>
      <c r="X70" s="310">
        <f>IF(W68=0,0,X69/W68)</f>
        <v>0</v>
      </c>
      <c r="Y70" s="310"/>
      <c r="Z70" s="310">
        <f>IF(Y68=0,0,Z69/Y68)</f>
        <v>0</v>
      </c>
      <c r="AA70" s="310"/>
      <c r="AB70" s="310">
        <f>IF(AA68=0,0,AB69/AA68)</f>
        <v>0.22983125372433488</v>
      </c>
      <c r="AC70" s="310"/>
      <c r="AD70" s="310">
        <f>IF(AC68=0,0,AD69/AC68)</f>
        <v>0.19553476506328532</v>
      </c>
      <c r="AE70" s="310"/>
      <c r="AF70" s="310">
        <f>IF(AE68=0,0,AF69/AE68)</f>
        <v>1.1088592004665398E-2</v>
      </c>
      <c r="AG70" s="74"/>
      <c r="AH70" s="74"/>
      <c r="AI70" s="74"/>
      <c r="AJ70" s="74"/>
      <c r="AK70" s="74"/>
      <c r="AL70" s="74"/>
      <c r="AM70" s="74"/>
      <c r="AN70" s="74"/>
      <c r="AO70" s="74"/>
      <c r="AP70" s="74"/>
      <c r="AQ70" s="74"/>
      <c r="AR70" s="74"/>
      <c r="AS70" s="74"/>
      <c r="AT70" s="74"/>
      <c r="AU70" s="74"/>
    </row>
    <row r="71" spans="1:47" ht="26.1" customHeight="1" x14ac:dyDescent="0.25">
      <c r="A71" s="350" t="s">
        <v>1202</v>
      </c>
      <c r="B71" s="351" t="s">
        <v>842</v>
      </c>
      <c r="C71" s="323">
        <f>'Расчет базового уровня'!D71</f>
        <v>158292.57599999997</v>
      </c>
      <c r="D71" s="352">
        <f>C71</f>
        <v>158292.57599999997</v>
      </c>
      <c r="E71" s="74"/>
      <c r="F71" s="74"/>
      <c r="G71" s="344" t="s">
        <v>1202</v>
      </c>
      <c r="H71" s="346" t="s">
        <v>842</v>
      </c>
      <c r="I71" s="323">
        <f>'Расчет базового уровня'!J71</f>
        <v>22203.935999999998</v>
      </c>
      <c r="J71" s="353">
        <f>I71</f>
        <v>22203.935999999998</v>
      </c>
      <c r="K71" s="323">
        <f>'Расчет базового уровня'!M71</f>
        <v>20055.167999999998</v>
      </c>
      <c r="L71" s="353">
        <f>K71</f>
        <v>20055.167999999998</v>
      </c>
      <c r="M71" s="323">
        <f>'Расчет базового уровня'!P71</f>
        <v>22203.935999999998</v>
      </c>
      <c r="N71" s="353">
        <f>M71</f>
        <v>22203.935999999998</v>
      </c>
      <c r="O71" s="323">
        <f>'Расчет базового уровня'!S71</f>
        <v>21487.679999999997</v>
      </c>
      <c r="P71" s="354">
        <f>O71</f>
        <v>21487.679999999997</v>
      </c>
      <c r="Q71" s="323">
        <f>'Расчет базового уровня'!V71</f>
        <v>14325.119999999997</v>
      </c>
      <c r="R71" s="335">
        <f>Q71</f>
        <v>14325.119999999997</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21487.679999999997</v>
      </c>
      <c r="AB71" s="353">
        <f>AA71</f>
        <v>21487.679999999997</v>
      </c>
      <c r="AC71" s="323">
        <f>'Расчет базового уровня'!AN71</f>
        <v>21487.679999999997</v>
      </c>
      <c r="AD71" s="353">
        <f>AC71</f>
        <v>21487.679999999997</v>
      </c>
      <c r="AE71" s="323">
        <f>'Расчет базового уровня'!AQ71</f>
        <v>22203.935999999998</v>
      </c>
      <c r="AF71" s="357">
        <f>AE71</f>
        <v>22203.935999999998</v>
      </c>
      <c r="AG71" s="74"/>
      <c r="AH71" s="74"/>
      <c r="AI71" s="74"/>
      <c r="AJ71" s="74"/>
      <c r="AK71" s="74"/>
      <c r="AL71" s="74"/>
      <c r="AM71" s="74"/>
      <c r="AN71" s="74"/>
      <c r="AO71" s="74"/>
      <c r="AP71" s="74"/>
      <c r="AQ71" s="74"/>
      <c r="AR71" s="74"/>
      <c r="AS71" s="74"/>
      <c r="AT71" s="74"/>
      <c r="AU71" s="74"/>
    </row>
    <row r="72" spans="1:47" ht="17.100000000000001" customHeight="1" thickBot="1" x14ac:dyDescent="0.3">
      <c r="A72" s="358" t="s">
        <v>874</v>
      </c>
      <c r="B72" s="359" t="s">
        <v>1184</v>
      </c>
      <c r="C72" s="360">
        <f>0.86*C71/1000</f>
        <v>136.13161535999996</v>
      </c>
      <c r="D72" s="361">
        <f>C72</f>
        <v>136.13161535999996</v>
      </c>
      <c r="E72" s="74"/>
      <c r="F72" s="74"/>
      <c r="G72" s="362" t="s">
        <v>874</v>
      </c>
      <c r="H72" s="363" t="s">
        <v>1184</v>
      </c>
      <c r="I72" s="364"/>
      <c r="J72" s="365">
        <f>0.86*J71/1000</f>
        <v>19.095384960000001</v>
      </c>
      <c r="K72" s="364"/>
      <c r="L72" s="365">
        <f>0.86*L71/1000</f>
        <v>17.247444479999999</v>
      </c>
      <c r="M72" s="364"/>
      <c r="N72" s="366">
        <f>0.86*N71/1000</f>
        <v>19.095384960000001</v>
      </c>
      <c r="O72" s="364"/>
      <c r="P72" s="367">
        <f>0.86*P71/1000</f>
        <v>18.479404799999998</v>
      </c>
      <c r="Q72" s="364"/>
      <c r="R72" s="368">
        <f>0.86*R71/1000</f>
        <v>12.319603199999998</v>
      </c>
      <c r="S72" s="364"/>
      <c r="T72" s="369">
        <f>0.86*T71/1000</f>
        <v>0</v>
      </c>
      <c r="U72" s="364"/>
      <c r="V72" s="367">
        <f>0.86*V71/1000</f>
        <v>0</v>
      </c>
      <c r="W72" s="364"/>
      <c r="X72" s="370">
        <f>0.86*X71/1000</f>
        <v>0</v>
      </c>
      <c r="Y72" s="364"/>
      <c r="Z72" s="370">
        <f>0.86*Z71/1000</f>
        <v>0</v>
      </c>
      <c r="AA72" s="364"/>
      <c r="AB72" s="369">
        <f>0.86*AB71/1000</f>
        <v>18.479404799999998</v>
      </c>
      <c r="AC72" s="364"/>
      <c r="AD72" s="369">
        <f>0.86*AD71/1000</f>
        <v>18.479404799999998</v>
      </c>
      <c r="AE72" s="364"/>
      <c r="AF72" s="371">
        <f>0.86*AF71/1000</f>
        <v>19.095384960000001</v>
      </c>
      <c r="AG72" s="74"/>
      <c r="AH72" s="74"/>
      <c r="AI72" s="74"/>
      <c r="AJ72" s="74"/>
      <c r="AK72" s="74"/>
      <c r="AL72" s="74"/>
      <c r="AM72" s="74"/>
      <c r="AN72" s="74"/>
      <c r="AO72" s="74"/>
      <c r="AP72" s="74"/>
      <c r="AQ72" s="74"/>
      <c r="AR72" s="74"/>
      <c r="AS72" s="74"/>
      <c r="AT72" s="74"/>
      <c r="AU72" s="74"/>
    </row>
    <row r="73" spans="1:47" ht="8.25" customHeight="1" x14ac:dyDescent="0.25">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25">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25">
      <c r="A76" s="350" t="s">
        <v>1208</v>
      </c>
      <c r="B76" s="351" t="s">
        <v>1190</v>
      </c>
      <c r="C76" s="323">
        <f>'Расчет базового уровня'!D76</f>
        <v>215.76039108527132</v>
      </c>
      <c r="D76" s="393">
        <f>D35/('Ввод исходных данных'!$G$45+'Ввод исходных данных'!$D$23)</f>
        <v>158.7111838902355</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75" thickBot="1" x14ac:dyDescent="0.3">
      <c r="A77" s="385" t="s">
        <v>874</v>
      </c>
      <c r="B77" s="397" t="s">
        <v>1209</v>
      </c>
      <c r="C77" s="398">
        <f>C76*0.86/1000</f>
        <v>0.18555393633333334</v>
      </c>
      <c r="D77" s="399">
        <f>D76*0.86/1000</f>
        <v>0.13649161814560254</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25">
      <c r="A80" s="407">
        <f>D38</f>
        <v>310168.14176365279</v>
      </c>
      <c r="B80" s="408">
        <f>D62</f>
        <v>158954.19808092591</v>
      </c>
      <c r="C80" s="408">
        <f>D65</f>
        <v>19498.802592228953</v>
      </c>
      <c r="D80" s="409">
        <f>D68</f>
        <v>79146.287999999986</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
      <c r="A82" s="1785" t="s">
        <v>1210</v>
      </c>
      <c r="B82" s="1785"/>
      <c r="C82" s="1785"/>
      <c r="D82" s="1785"/>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50000000000003" customHeight="1" x14ac:dyDescent="0.25">
      <c r="A83" s="1815" t="s">
        <v>834</v>
      </c>
      <c r="B83" s="1817" t="s">
        <v>1174</v>
      </c>
      <c r="C83" s="1821" t="s">
        <v>1338</v>
      </c>
      <c r="D83" s="1819" t="s">
        <v>1402</v>
      </c>
      <c r="E83" s="74"/>
      <c r="F83" s="74"/>
      <c r="G83" s="1827" t="s">
        <v>834</v>
      </c>
      <c r="H83" s="1818" t="s">
        <v>1174</v>
      </c>
      <c r="I83" s="1828" t="s">
        <v>488</v>
      </c>
      <c r="J83" s="1829"/>
      <c r="K83" s="1828" t="s">
        <v>489</v>
      </c>
      <c r="L83" s="1829"/>
      <c r="M83" s="1828" t="s">
        <v>490</v>
      </c>
      <c r="N83" s="1829"/>
      <c r="O83" s="1828" t="s">
        <v>491</v>
      </c>
      <c r="P83" s="1829"/>
      <c r="Q83" s="1828" t="s">
        <v>805</v>
      </c>
      <c r="R83" s="1829"/>
      <c r="S83" s="1828" t="s">
        <v>806</v>
      </c>
      <c r="T83" s="1829"/>
      <c r="U83" s="1828" t="s">
        <v>807</v>
      </c>
      <c r="V83" s="1829"/>
      <c r="W83" s="1828" t="s">
        <v>808</v>
      </c>
      <c r="X83" s="1829"/>
      <c r="Y83" s="1828" t="s">
        <v>809</v>
      </c>
      <c r="Z83" s="1829"/>
      <c r="AA83" s="1828" t="s">
        <v>482</v>
      </c>
      <c r="AB83" s="1829"/>
      <c r="AC83" s="1828" t="s">
        <v>486</v>
      </c>
      <c r="AD83" s="1829"/>
      <c r="AE83" s="1828" t="s">
        <v>487</v>
      </c>
      <c r="AF83" s="1829"/>
      <c r="AG83" s="74"/>
      <c r="AH83" s="74"/>
      <c r="AI83" s="74"/>
      <c r="AJ83" s="74"/>
      <c r="AK83" s="74"/>
      <c r="AL83" s="74"/>
      <c r="AM83" s="74"/>
      <c r="AN83" s="74"/>
      <c r="AO83" s="74"/>
      <c r="AP83" s="74"/>
      <c r="AQ83" s="74"/>
      <c r="AR83" s="74"/>
      <c r="AS83" s="74"/>
      <c r="AT83" s="74"/>
      <c r="AU83" s="74"/>
      <c r="AV83" s="74"/>
      <c r="AW83" s="74"/>
    </row>
    <row r="84" spans="1:55" ht="45.75" customHeight="1" x14ac:dyDescent="0.25">
      <c r="A84" s="1816"/>
      <c r="B84" s="1818"/>
      <c r="C84" s="1812"/>
      <c r="D84" s="1820"/>
      <c r="E84" s="74"/>
      <c r="F84" s="74"/>
      <c r="G84" s="1827"/>
      <c r="H84" s="1818"/>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25">
      <c r="A85" s="415" t="s">
        <v>1212</v>
      </c>
      <c r="B85" s="416" t="s">
        <v>842</v>
      </c>
      <c r="C85" s="417">
        <f>'Расчет базового уровня'!D85</f>
        <v>188890.1484508547</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188890.1484508547</v>
      </c>
      <c r="E85" s="317"/>
      <c r="F85" s="419"/>
      <c r="G85" s="420" t="s">
        <v>1213</v>
      </c>
      <c r="H85" s="416" t="s">
        <v>842</v>
      </c>
      <c r="I85" s="421">
        <f>'Расчет базового уровня'!J85</f>
        <v>18949.631249999999</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18949.631249999999</v>
      </c>
      <c r="K85" s="421">
        <f>'Расчет базового уровня'!L85</f>
        <v>19189.5</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19189.5</v>
      </c>
      <c r="M85" s="421">
        <f>'Расчет базового уровня'!N85</f>
        <v>15831.337500000001</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15831.3375</v>
      </c>
      <c r="O85" s="421">
        <f>'Расчет базового уровня'!P85</f>
        <v>19909.106249999997</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19909.106249999997</v>
      </c>
      <c r="Q85" s="421">
        <f>'Расчет базового уровня'!R85</f>
        <v>12952.912499999999</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12952.912499999999</v>
      </c>
      <c r="S85" s="421">
        <f>'Расчет базового уровня'!T85</f>
        <v>13083.75</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13083.75</v>
      </c>
      <c r="U85" s="421">
        <f>'Расчет базового уровня'!V85</f>
        <v>13083.75</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13083.75</v>
      </c>
      <c r="W85" s="421">
        <f>'Расчет базового уровня'!X85</f>
        <v>13083.75</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13083.75</v>
      </c>
      <c r="Y85" s="421">
        <f>'Расчет базового уровня'!Z85</f>
        <v>13083.75</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13083.75</v>
      </c>
      <c r="AA85" s="421">
        <f>'Расчет базового уровня'!AB85</f>
        <v>15991.25</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15991.25</v>
      </c>
      <c r="AC85" s="421">
        <f>'Расчет базового уровня'!AD85</f>
        <v>15991.25</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15991.25</v>
      </c>
      <c r="AE85" s="421">
        <f>'Расчет базового уровня'!AF85</f>
        <v>15751.381249999999</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15751.38125</v>
      </c>
      <c r="AG85" s="74"/>
      <c r="AH85" s="74"/>
      <c r="AI85" s="74"/>
      <c r="AJ85" s="74"/>
      <c r="AK85" s="74"/>
      <c r="AL85" s="74"/>
      <c r="AM85" s="74"/>
      <c r="AN85" s="74"/>
      <c r="AO85" s="74"/>
      <c r="AP85" s="74"/>
      <c r="AQ85" s="74"/>
      <c r="AR85" s="74"/>
      <c r="AS85" s="74"/>
      <c r="AT85" s="74"/>
      <c r="AU85" s="74"/>
      <c r="AV85" s="74"/>
      <c r="AW85" s="74"/>
    </row>
    <row r="86" spans="1:55" x14ac:dyDescent="0.25">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188890.14845085473</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25">
      <c r="A87" s="422" t="s">
        <v>874</v>
      </c>
      <c r="B87" s="416" t="s">
        <v>1181</v>
      </c>
      <c r="C87" s="310"/>
      <c r="D87" s="310">
        <f>IF(C85=0,0,D86/C85)</f>
        <v>0</v>
      </c>
      <c r="E87" s="317">
        <f>C85*D90/C90*(1+IF('Список мероприятий'!$AB$38=1,D174,'Расчет базового уровня'!$D$176))/(1+'Расчет базового уровня'!$D$176)+D178/0.86*1000</f>
        <v>188890.1484508547</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x14ac:dyDescent="0.25">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25">
      <c r="A90" s="415" t="s">
        <v>1216</v>
      </c>
      <c r="B90" s="416" t="s">
        <v>1217</v>
      </c>
      <c r="C90" s="417">
        <f>'Расчет базового уровня'!D90</f>
        <v>2519</v>
      </c>
      <c r="D90" s="261">
        <f>C90*IF(AND('Система ГВС'!$F$17=0,'Список мероприятий'!$AB$39=1),0.9,1)</f>
        <v>2519</v>
      </c>
      <c r="E90" s="74"/>
      <c r="F90" s="74"/>
      <c r="G90" s="431" t="s">
        <v>1219</v>
      </c>
      <c r="H90" s="416" t="s">
        <v>1217</v>
      </c>
      <c r="I90" s="421">
        <f>'Расчет базового уровня'!J90</f>
        <v>237</v>
      </c>
      <c r="J90" s="261">
        <f>I90*IF(AND('Система ГВС'!$F$17=0,'Список мероприятий'!$AB$39=1),0.9,1)</f>
        <v>237</v>
      </c>
      <c r="K90" s="421">
        <f>'Расчет базового уровня'!L90</f>
        <v>240</v>
      </c>
      <c r="L90" s="261">
        <f>K90*IF(AND('Система ГВС'!$F$17=0,'Список мероприятий'!$AB$39=1),0.9,1)</f>
        <v>240</v>
      </c>
      <c r="M90" s="421">
        <f>'Расчет базового уровня'!N90</f>
        <v>198</v>
      </c>
      <c r="N90" s="261">
        <f>M90*IF(AND('Система ГВС'!$F$17=0,'Список мероприятий'!$AB$39=1),0.9,1)</f>
        <v>198</v>
      </c>
      <c r="O90" s="421">
        <f>'Расчет базового уровня'!P90</f>
        <v>249</v>
      </c>
      <c r="P90" s="261">
        <f>O90*IF(AND('Система ГВС'!$F$17=0,'Список мероприятий'!$AB$39=1),0.9,1)</f>
        <v>249</v>
      </c>
      <c r="Q90" s="421">
        <f>'Расчет базового уровня'!R90</f>
        <v>198</v>
      </c>
      <c r="R90" s="261">
        <f>Q90*IF(AND('Система ГВС'!$F$17=0,'Список мероприятий'!$AB$39=1),0.9,1)</f>
        <v>198</v>
      </c>
      <c r="S90" s="421">
        <f>'Расчет базового уровня'!T90</f>
        <v>200</v>
      </c>
      <c r="T90" s="261">
        <f>S90*IF(AND('Система ГВС'!$F$17=0,'Список мероприятий'!$AB$39=1),0.9,1)</f>
        <v>200</v>
      </c>
      <c r="U90" s="421">
        <f>'Расчет базового уровня'!V90</f>
        <v>200</v>
      </c>
      <c r="V90" s="261">
        <f>U90*IF(AND('Система ГВС'!$F$17=0,'Список мероприятий'!$AB$39=1),0.9,1)</f>
        <v>200</v>
      </c>
      <c r="W90" s="421">
        <f>'Расчет базового уровня'!X90</f>
        <v>200</v>
      </c>
      <c r="X90" s="261">
        <f>W90*IF(AND('Система ГВС'!$F$17=0,'Список мероприятий'!$AB$39=1),0.9,1)</f>
        <v>200</v>
      </c>
      <c r="Y90" s="421">
        <f>'Расчет базового уровня'!Z90</f>
        <v>200</v>
      </c>
      <c r="Z90" s="261">
        <f>Y90*IF(AND('Система ГВС'!$F$17=0,'Список мероприятий'!$AB$39=1),0.9,1)</f>
        <v>200</v>
      </c>
      <c r="AA90" s="421">
        <f>'Расчет базового уровня'!AB90</f>
        <v>200</v>
      </c>
      <c r="AB90" s="261">
        <f>AA90*IF(AND('Система ГВС'!$F$17=0,'Список мероприятий'!$AB$39=1),0.9,1)</f>
        <v>200</v>
      </c>
      <c r="AC90" s="421">
        <f>'Расчет базового уровня'!AD90</f>
        <v>200</v>
      </c>
      <c r="AD90" s="261">
        <f>AC90*IF(AND('Система ГВС'!$F$17=0,'Список мероприятий'!$AB$39=1),0.9,1)</f>
        <v>200</v>
      </c>
      <c r="AE90" s="421">
        <f>'Расчет базового уровня'!AF90</f>
        <v>197</v>
      </c>
      <c r="AF90" s="261">
        <f>AE90*IF(AND('Система ГВС'!$F$17=0,'Список мероприятий'!$AB$39=1),0.9,1)</f>
        <v>197</v>
      </c>
      <c r="AG90" s="74"/>
      <c r="AH90" s="74"/>
      <c r="AI90" s="74"/>
      <c r="AJ90" s="74"/>
      <c r="AK90" s="74"/>
      <c r="AL90" s="74"/>
      <c r="AM90" s="74"/>
      <c r="AN90" s="74"/>
      <c r="AO90" s="74"/>
      <c r="AP90" s="74"/>
      <c r="AQ90" s="74"/>
      <c r="AR90" s="74"/>
      <c r="AS90" s="74"/>
      <c r="AT90" s="74"/>
      <c r="AU90" s="74"/>
      <c r="AV90" s="74"/>
      <c r="AW90" s="74"/>
    </row>
    <row r="91" spans="1:55" x14ac:dyDescent="0.25">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25">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25">
      <c r="A93" s="432" t="s">
        <v>1221</v>
      </c>
      <c r="B93" s="309" t="s">
        <v>1190</v>
      </c>
      <c r="C93" s="417">
        <f>'Расчет базового уровня'!D93</f>
        <v>73.213235833664612</v>
      </c>
      <c r="D93" s="433">
        <f>D85/('Ввод исходных данных'!$G$45+'Ввод исходных данных'!$D$23)</f>
        <v>73.213235833664612</v>
      </c>
      <c r="E93" s="74"/>
      <c r="F93" s="74"/>
      <c r="G93" s="74"/>
      <c r="H93" s="74"/>
      <c r="I93" s="74">
        <f>IF(G146&gt;14,1,0)</f>
        <v>1</v>
      </c>
      <c r="J93" s="74"/>
      <c r="K93" s="74">
        <f>IF(H146&gt;14,1,0)</f>
        <v>1</v>
      </c>
      <c r="L93" s="74"/>
      <c r="M93" s="74">
        <f>IF(I146&gt;14,1,0)</f>
        <v>1</v>
      </c>
      <c r="O93" s="74">
        <f>IF(J146&gt;14,1,0)</f>
        <v>1</v>
      </c>
      <c r="Q93" s="74">
        <f>IF(K146&gt;14,1,0)</f>
        <v>1</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x14ac:dyDescent="0.25">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75" thickBot="1" x14ac:dyDescent="0.3">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5" thickBot="1" x14ac:dyDescent="0.3">
      <c r="A97" s="1780" t="s">
        <v>1186</v>
      </c>
      <c r="B97" s="1780"/>
      <c r="C97" s="1780"/>
      <c r="D97" s="1780"/>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25">
      <c r="A98" s="1822" t="s">
        <v>834</v>
      </c>
      <c r="B98" s="1817" t="s">
        <v>1174</v>
      </c>
      <c r="C98" s="1826" t="s">
        <v>1338</v>
      </c>
      <c r="D98" s="1824" t="s">
        <v>1402</v>
      </c>
      <c r="E98" s="74"/>
      <c r="F98" s="74"/>
      <c r="G98" s="1822" t="s">
        <v>834</v>
      </c>
      <c r="H98" s="1817" t="s">
        <v>1174</v>
      </c>
      <c r="I98" s="1817" t="s">
        <v>488</v>
      </c>
      <c r="J98" s="1817"/>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25">
      <c r="A99" s="1823"/>
      <c r="B99" s="1818"/>
      <c r="C99" s="1827"/>
      <c r="D99" s="1825"/>
      <c r="E99" s="74"/>
      <c r="F99" s="74"/>
      <c r="G99" s="1823"/>
      <c r="H99" s="1818"/>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25">
      <c r="A100" s="446" t="s">
        <v>1224</v>
      </c>
      <c r="B100" s="416" t="s">
        <v>842</v>
      </c>
      <c r="C100" s="424">
        <f>'Расчет базового уровня'!D100</f>
        <v>7800.07</v>
      </c>
      <c r="D100" s="447">
        <f>D102+D104+D106+D111</f>
        <v>8103.1371031477865</v>
      </c>
      <c r="E100" s="317"/>
      <c r="F100" s="74"/>
      <c r="G100" s="446" t="s">
        <v>1225</v>
      </c>
      <c r="H100" s="416" t="s">
        <v>842</v>
      </c>
      <c r="I100" s="424">
        <f>'Расчет базового уровня'!J100</f>
        <v>940.06999999999994</v>
      </c>
      <c r="J100" s="448">
        <f>J102+J104+J106+J111</f>
        <v>710.23782409650516</v>
      </c>
      <c r="K100" s="424">
        <f>'Расчет базового уровня'!L100</f>
        <v>590</v>
      </c>
      <c r="L100" s="448">
        <f>L102+L104+L106+L111</f>
        <v>700.49049314686033</v>
      </c>
      <c r="M100" s="424">
        <f>'Расчет базового уровня'!N100</f>
        <v>588</v>
      </c>
      <c r="N100" s="448">
        <f>N102+N104+N106+N111</f>
        <v>689.82653107466081</v>
      </c>
      <c r="O100" s="424">
        <f>'Расчет базового уровня'!P100</f>
        <v>668</v>
      </c>
      <c r="P100" s="448">
        <f>P102+P104+P106+P111</f>
        <v>657.82334055284923</v>
      </c>
      <c r="Q100" s="424">
        <f>'Расчет базового уровня'!R100</f>
        <v>1104</v>
      </c>
      <c r="R100" s="448">
        <f>R102+R104+R106+R111</f>
        <v>651.30430997271139</v>
      </c>
      <c r="S100" s="424">
        <f>'Расчет базового уровня'!T100</f>
        <v>472</v>
      </c>
      <c r="T100" s="448">
        <f>T102+T104+T106+T111</f>
        <v>650.00583333333327</v>
      </c>
      <c r="U100" s="424">
        <f>'Расчет базового уровня'!V100</f>
        <v>490</v>
      </c>
      <c r="V100" s="449">
        <f>V102+V104+V106+V111</f>
        <v>650.00583333333327</v>
      </c>
      <c r="W100" s="424">
        <f>'Расчет базового уровня'!X100</f>
        <v>655</v>
      </c>
      <c r="X100" s="448">
        <f>X102+X104+X106+X111</f>
        <v>650.00583333333327</v>
      </c>
      <c r="Y100" s="424">
        <f>'Расчет базового уровня'!Z100</f>
        <v>567</v>
      </c>
      <c r="Z100" s="448">
        <f>Z102+Z104+Z106+Z111</f>
        <v>650.00583333333327</v>
      </c>
      <c r="AA100" s="424">
        <f>'Расчет базового уровня'!AB100</f>
        <v>687</v>
      </c>
      <c r="AB100" s="450">
        <f>AB102+AB104+AB106+AB111</f>
        <v>680.91906302970881</v>
      </c>
      <c r="AC100" s="424">
        <f>'Расчет базового уровня'!AD100</f>
        <v>345</v>
      </c>
      <c r="AD100" s="424">
        <f>AD102+AD104+AD106+AD111</f>
        <v>704.77101712749209</v>
      </c>
      <c r="AE100" s="424">
        <f>'Расчет базового уровня'!AF100</f>
        <v>694</v>
      </c>
      <c r="AF100" s="451">
        <f>AF102+AF104+AF106+AF111</f>
        <v>701.92900718644296</v>
      </c>
      <c r="AG100" s="74"/>
      <c r="AH100" s="74"/>
      <c r="AI100" s="74"/>
      <c r="AJ100" s="74"/>
      <c r="AK100" s="74"/>
      <c r="AL100" s="74"/>
      <c r="AM100" s="74"/>
      <c r="AN100" s="74"/>
      <c r="AO100" s="74"/>
      <c r="AP100" s="74"/>
      <c r="AQ100" s="74"/>
      <c r="AR100" s="74"/>
    </row>
    <row r="101" spans="1:51" ht="18.95" customHeight="1" x14ac:dyDescent="0.25">
      <c r="A101" s="452" t="s">
        <v>1340</v>
      </c>
      <c r="B101" s="416" t="s">
        <v>1181</v>
      </c>
      <c r="C101" s="428"/>
      <c r="D101" s="453">
        <f>IF(C100=0,0,D100/C100-1)</f>
        <v>3.885440812041252E-2</v>
      </c>
      <c r="E101" s="74"/>
      <c r="F101" s="74"/>
      <c r="G101" s="452" t="s">
        <v>1340</v>
      </c>
      <c r="H101" s="416" t="s">
        <v>1181</v>
      </c>
      <c r="I101" s="428"/>
      <c r="J101" s="425">
        <f>IF(I100=0,0,J100/I100-1)</f>
        <v>-0.24448410852755087</v>
      </c>
      <c r="K101" s="428"/>
      <c r="L101" s="425">
        <f>IF(K100=0,0,L100/K100-1)</f>
        <v>0.18727202228281414</v>
      </c>
      <c r="M101" s="428"/>
      <c r="N101" s="425">
        <f>IF(M100=0,0,N100/M100-1)</f>
        <v>0.17317437257595381</v>
      </c>
      <c r="O101" s="428"/>
      <c r="P101" s="425">
        <f>IF(O100=0,0,P100/O100-1)</f>
        <v>-1.5234520130465223E-2</v>
      </c>
      <c r="Q101" s="428"/>
      <c r="R101" s="425">
        <f>IF(Q100=0,0,R100/Q100-1)</f>
        <v>-0.41005044386529765</v>
      </c>
      <c r="S101" s="428"/>
      <c r="T101" s="425">
        <f>IF(S100=0,0,T100/S100-1)</f>
        <v>0.37713100282485867</v>
      </c>
      <c r="U101" s="428"/>
      <c r="V101" s="425">
        <f>IF(U100=0,0,V100/U100-1)</f>
        <v>0.32654251700680259</v>
      </c>
      <c r="W101" s="428"/>
      <c r="X101" s="425">
        <f>IF(W100=0,0,X100/W100-1)</f>
        <v>-7.6246819338423588E-3</v>
      </c>
      <c r="Y101" s="428"/>
      <c r="Z101" s="425">
        <f>IF(Y100=0,0,Z100/Y100-1)</f>
        <v>0.14639476778365657</v>
      </c>
      <c r="AA101" s="428"/>
      <c r="AB101" s="425">
        <f>IF(AA100=0,0,AB100/AA100-1)</f>
        <v>-8.8514366379784937E-3</v>
      </c>
      <c r="AC101" s="428"/>
      <c r="AD101" s="425">
        <f>IF(AC100=0,0,AD100/AC100-1)</f>
        <v>1.0428145423985278</v>
      </c>
      <c r="AE101" s="428"/>
      <c r="AF101" s="453">
        <f>IF(AE100=0,0,AF100/AE100-1)</f>
        <v>1.1425082401214537E-2</v>
      </c>
      <c r="AG101" s="74"/>
      <c r="AH101" s="74"/>
      <c r="AI101" s="74"/>
      <c r="AJ101" s="74"/>
      <c r="AK101" s="74"/>
      <c r="AL101" s="74"/>
      <c r="AM101" s="74"/>
      <c r="AN101" s="74"/>
      <c r="AO101" s="74"/>
      <c r="AP101" s="74"/>
      <c r="AQ101" s="74"/>
      <c r="AR101" s="74"/>
    </row>
    <row r="102" spans="1:51" ht="26.45" customHeight="1" x14ac:dyDescent="0.25">
      <c r="A102" s="454" t="s">
        <v>1226</v>
      </c>
      <c r="B102" s="416" t="s">
        <v>842</v>
      </c>
      <c r="C102" s="424">
        <f>'Расчет базового уровня'!D102</f>
        <v>7800.07</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7800.07</v>
      </c>
      <c r="E102" s="455"/>
      <c r="F102" s="74"/>
      <c r="G102" s="454" t="s">
        <v>1226</v>
      </c>
      <c r="H102" s="416" t="s">
        <v>842</v>
      </c>
      <c r="I102" s="424">
        <f>'Расчет базового уровня'!J102</f>
        <v>940.06999999999994</v>
      </c>
      <c r="J102" s="424">
        <f>$D$102/12</f>
        <v>650.00583333333327</v>
      </c>
      <c r="K102" s="424">
        <f>'Расчет базового уровня'!L102</f>
        <v>590</v>
      </c>
      <c r="L102" s="424">
        <f>$D$102/12</f>
        <v>650.00583333333327</v>
      </c>
      <c r="M102" s="424">
        <f>'Расчет базового уровня'!N102</f>
        <v>588</v>
      </c>
      <c r="N102" s="424">
        <f>$D$102/12</f>
        <v>650.00583333333327</v>
      </c>
      <c r="O102" s="424">
        <f>'Расчет базового уровня'!P102</f>
        <v>668</v>
      </c>
      <c r="P102" s="424">
        <f>$D$102/12</f>
        <v>650.00583333333327</v>
      </c>
      <c r="Q102" s="424">
        <f>'Расчет базового уровня'!R102</f>
        <v>1104</v>
      </c>
      <c r="R102" s="424">
        <f>$D$102/12</f>
        <v>650.00583333333327</v>
      </c>
      <c r="S102" s="424">
        <f>'Расчет базового уровня'!T102</f>
        <v>472</v>
      </c>
      <c r="T102" s="424">
        <f>$D$102/12</f>
        <v>650.00583333333327</v>
      </c>
      <c r="U102" s="424">
        <f>'Расчет базового уровня'!V102</f>
        <v>490</v>
      </c>
      <c r="V102" s="450">
        <f>$D$102/12</f>
        <v>650.00583333333327</v>
      </c>
      <c r="W102" s="424">
        <f>'Расчет базового уровня'!X102</f>
        <v>655</v>
      </c>
      <c r="X102" s="424">
        <f>$D$102/12</f>
        <v>650.00583333333327</v>
      </c>
      <c r="Y102" s="424">
        <f>'Расчет базового уровня'!Z102</f>
        <v>567</v>
      </c>
      <c r="Z102" s="424">
        <f>$D$102/12</f>
        <v>650.00583333333327</v>
      </c>
      <c r="AA102" s="424">
        <f>'Расчет базового уровня'!AB102</f>
        <v>687</v>
      </c>
      <c r="AB102" s="450">
        <f>$D$102/12</f>
        <v>650.00583333333327</v>
      </c>
      <c r="AC102" s="424">
        <f>'Расчет базового уровня'!AD102</f>
        <v>345</v>
      </c>
      <c r="AD102" s="424">
        <f>$D$102/12</f>
        <v>650.00583333333327</v>
      </c>
      <c r="AE102" s="424">
        <f>'Расчет базового уровня'!AF102</f>
        <v>694</v>
      </c>
      <c r="AF102" s="451">
        <f>$D$102/12</f>
        <v>650.00583333333327</v>
      </c>
      <c r="AG102" s="74"/>
      <c r="AH102" s="74"/>
      <c r="AI102" s="74"/>
      <c r="AJ102" s="74"/>
      <c r="AK102" s="74"/>
      <c r="AL102" s="74"/>
      <c r="AM102" s="74"/>
      <c r="AN102" s="74"/>
      <c r="AO102" s="74"/>
      <c r="AP102" s="74"/>
      <c r="AQ102" s="74"/>
      <c r="AR102" s="74"/>
    </row>
    <row r="103" spans="1:51" x14ac:dyDescent="0.25">
      <c r="A103" s="452" t="s">
        <v>874</v>
      </c>
      <c r="B103" s="416" t="s">
        <v>1181</v>
      </c>
      <c r="C103" s="428"/>
      <c r="D103" s="453">
        <f>IF(C102=0,0,D102/C102-1)</f>
        <v>0</v>
      </c>
      <c r="E103" s="74"/>
      <c r="F103" s="74"/>
      <c r="G103" s="452" t="s">
        <v>1340</v>
      </c>
      <c r="H103" s="416" t="s">
        <v>1181</v>
      </c>
      <c r="I103" s="428"/>
      <c r="J103" s="425">
        <f>IF(I102=0,0,J102/I102-1)</f>
        <v>-0.30855592314047542</v>
      </c>
      <c r="K103" s="428"/>
      <c r="L103" s="425">
        <f>IF(K102=0,0,L102/K102-1)</f>
        <v>0.10170480225988698</v>
      </c>
      <c r="M103" s="428"/>
      <c r="N103" s="425">
        <f>IF(M102=0,0,N102/M102-1)</f>
        <v>0.10545209750566875</v>
      </c>
      <c r="O103" s="428"/>
      <c r="P103" s="425">
        <f>IF(O102=0,0,P102/O102-1)</f>
        <v>-2.6937375249501128E-2</v>
      </c>
      <c r="Q103" s="428"/>
      <c r="R103" s="425">
        <f>IF(Q102=0,0,R102/Q102-1)</f>
        <v>-0.411226600241546</v>
      </c>
      <c r="S103" s="428"/>
      <c r="T103" s="425">
        <f>IF(S102=0,0,T102/S102-1)</f>
        <v>0.37713100282485867</v>
      </c>
      <c r="U103" s="428"/>
      <c r="V103" s="425">
        <f>IF(U102=0,0,V102/U102-1)</f>
        <v>0.32654251700680259</v>
      </c>
      <c r="W103" s="428"/>
      <c r="X103" s="425">
        <f>IF(W102=0,0,X102/W102-1)</f>
        <v>-7.6246819338423588E-3</v>
      </c>
      <c r="Y103" s="428"/>
      <c r="Z103" s="425">
        <f>IF(Y102=0,0,Z102/Y102-1)</f>
        <v>0.14639476778365657</v>
      </c>
      <c r="AA103" s="428"/>
      <c r="AB103" s="425">
        <f>IF(AA102=0,0,AB102/AA102-1)</f>
        <v>-5.3848859776807423E-2</v>
      </c>
      <c r="AC103" s="428"/>
      <c r="AD103" s="425">
        <f>IF(AC102=0,0,AD102/AC102-1)</f>
        <v>0.88407487922705297</v>
      </c>
      <c r="AE103" s="428"/>
      <c r="AF103" s="453">
        <f>IF(AE102=0,0,AF102/AE102-1)</f>
        <v>-6.3392170989433283E-2</v>
      </c>
      <c r="AG103" s="74"/>
      <c r="AH103" s="74"/>
      <c r="AI103" s="74"/>
      <c r="AJ103" s="74"/>
      <c r="AK103" s="74"/>
      <c r="AL103" s="74"/>
      <c r="AM103" s="74"/>
      <c r="AN103" s="74"/>
      <c r="AO103" s="74"/>
      <c r="AP103" s="74"/>
      <c r="AQ103" s="74"/>
      <c r="AR103" s="74"/>
    </row>
    <row r="104" spans="1:51" x14ac:dyDescent="0.25">
      <c r="A104" s="454" t="s">
        <v>1233</v>
      </c>
      <c r="B104" s="416" t="s">
        <v>842</v>
      </c>
      <c r="C104" s="424">
        <f>'Расчет базового уровня'!D104</f>
        <v>0</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0</v>
      </c>
      <c r="E104" s="317"/>
      <c r="F104" s="456"/>
      <c r="G104" s="454" t="s">
        <v>1233</v>
      </c>
      <c r="H104" s="416" t="s">
        <v>842</v>
      </c>
      <c r="I104" s="424">
        <f>'Расчет базового уровня'!J104</f>
        <v>0</v>
      </c>
      <c r="J104" s="424">
        <f>D104/12</f>
        <v>0</v>
      </c>
      <c r="K104" s="424">
        <f>'Расчет базового уровня'!L104</f>
        <v>0</v>
      </c>
      <c r="L104" s="424">
        <f>J104</f>
        <v>0</v>
      </c>
      <c r="M104" s="424">
        <f>'Расчет базового уровня'!N104</f>
        <v>0</v>
      </c>
      <c r="N104" s="428">
        <f>L104</f>
        <v>0</v>
      </c>
      <c r="O104" s="424">
        <f>'Расчет базового уровня'!P104</f>
        <v>0</v>
      </c>
      <c r="P104" s="428">
        <f>N104</f>
        <v>0</v>
      </c>
      <c r="Q104" s="424">
        <f>'Расчет базового уровня'!R104</f>
        <v>0</v>
      </c>
      <c r="R104" s="428">
        <f>P104</f>
        <v>0</v>
      </c>
      <c r="S104" s="424">
        <f>'Расчет базового уровня'!T104</f>
        <v>0</v>
      </c>
      <c r="T104" s="428">
        <f>R104</f>
        <v>0</v>
      </c>
      <c r="U104" s="424">
        <f>'Расчет базового уровня'!V104</f>
        <v>0</v>
      </c>
      <c r="V104" s="457">
        <f>T104</f>
        <v>0</v>
      </c>
      <c r="W104" s="424">
        <f>'Расчет базового уровня'!X104</f>
        <v>0</v>
      </c>
      <c r="X104" s="428">
        <f>V104</f>
        <v>0</v>
      </c>
      <c r="Y104" s="424">
        <f>'Расчет базового уровня'!Z104</f>
        <v>0</v>
      </c>
      <c r="Z104" s="428">
        <f>X104</f>
        <v>0</v>
      </c>
      <c r="AA104" s="424">
        <f>'Расчет базового уровня'!AB104</f>
        <v>0</v>
      </c>
      <c r="AB104" s="457">
        <f>Z104</f>
        <v>0</v>
      </c>
      <c r="AC104" s="424">
        <f>'Расчет базового уровня'!AD104</f>
        <v>0</v>
      </c>
      <c r="AD104" s="428">
        <f>AB104</f>
        <v>0</v>
      </c>
      <c r="AE104" s="424">
        <f>'Расчет базового уровня'!AF104</f>
        <v>0</v>
      </c>
      <c r="AF104" s="458">
        <f>AD104</f>
        <v>0</v>
      </c>
      <c r="AG104" s="74"/>
      <c r="AH104" s="74"/>
      <c r="AI104" s="74"/>
      <c r="AJ104" s="74"/>
      <c r="AK104" s="74"/>
      <c r="AL104" s="74"/>
      <c r="AM104" s="74"/>
      <c r="AN104" s="74"/>
      <c r="AO104" s="74"/>
      <c r="AP104" s="74"/>
      <c r="AQ104" s="74"/>
      <c r="AR104" s="74"/>
    </row>
    <row r="105" spans="1:51" x14ac:dyDescent="0.25">
      <c r="A105" s="452" t="s">
        <v>874</v>
      </c>
      <c r="B105" s="416" t="s">
        <v>1181</v>
      </c>
      <c r="C105" s="428"/>
      <c r="D105" s="453">
        <f>IF(C104=0,0,D104/C104-1)</f>
        <v>0</v>
      </c>
      <c r="E105" s="317"/>
      <c r="F105" s="74"/>
      <c r="G105" s="452" t="s">
        <v>1340</v>
      </c>
      <c r="H105" s="416" t="s">
        <v>1181</v>
      </c>
      <c r="I105" s="428"/>
      <c r="J105" s="425">
        <f>IF(I104=0,0,J104/I104-1)</f>
        <v>0</v>
      </c>
      <c r="K105" s="428"/>
      <c r="L105" s="425">
        <f>IF(K104=0,0,L104/K104-1)</f>
        <v>0</v>
      </c>
      <c r="M105" s="428"/>
      <c r="N105" s="425">
        <f>IF(M104=0,0,N104/M104-1)</f>
        <v>0</v>
      </c>
      <c r="O105" s="428"/>
      <c r="P105" s="425">
        <f>IF(O104=0,0,P104/O104-1)</f>
        <v>0</v>
      </c>
      <c r="Q105" s="428"/>
      <c r="R105" s="425">
        <f>IF(Q104=0,0,R104/Q104-1)</f>
        <v>0</v>
      </c>
      <c r="S105" s="428"/>
      <c r="T105" s="425">
        <f>IF(S104=0,0,T104/S104-1)</f>
        <v>0</v>
      </c>
      <c r="U105" s="428"/>
      <c r="V105" s="425">
        <f>IF(U104=0,0,V104/U104-1)</f>
        <v>0</v>
      </c>
      <c r="W105" s="428"/>
      <c r="X105" s="425">
        <f>IF(W104=0,0,X104/W104-1)</f>
        <v>0</v>
      </c>
      <c r="Y105" s="428"/>
      <c r="Z105" s="425">
        <f>IF(Y104=0,0,Z104/Y104-1)</f>
        <v>0</v>
      </c>
      <c r="AA105" s="428"/>
      <c r="AB105" s="425">
        <f>IF(AA104=0,0,AB104/AA104-1)</f>
        <v>0</v>
      </c>
      <c r="AC105" s="428"/>
      <c r="AD105" s="425">
        <f>IF(AC104=0,0,AD104/AC104-1)</f>
        <v>0</v>
      </c>
      <c r="AE105" s="428"/>
      <c r="AF105" s="453">
        <f>IF(AE104=0,0,AF104/AE104-1)</f>
        <v>0</v>
      </c>
      <c r="AG105" s="74"/>
      <c r="AH105" s="74"/>
      <c r="AI105" s="74"/>
      <c r="AJ105" s="74"/>
      <c r="AK105" s="74"/>
      <c r="AL105" s="74"/>
      <c r="AM105" s="74"/>
      <c r="AN105" s="74"/>
      <c r="AO105" s="74"/>
      <c r="AP105" s="74"/>
      <c r="AQ105" s="74"/>
      <c r="AR105" s="74"/>
    </row>
    <row r="106" spans="1:51" x14ac:dyDescent="0.25">
      <c r="A106" s="454" t="s">
        <v>1235</v>
      </c>
      <c r="B106" s="416" t="s">
        <v>842</v>
      </c>
      <c r="C106" s="424">
        <f>'Расчет базового уровня'!D106</f>
        <v>0</v>
      </c>
      <c r="D106" s="447">
        <f>D108+D109+D110</f>
        <v>303.06710314778684</v>
      </c>
      <c r="E106" s="317"/>
      <c r="F106" s="317"/>
      <c r="G106" s="454" t="s">
        <v>1234</v>
      </c>
      <c r="H106" s="416" t="s">
        <v>842</v>
      </c>
      <c r="I106" s="424">
        <f>'Расчет базового уровня'!J106</f>
        <v>0</v>
      </c>
      <c r="J106" s="447">
        <f>J108+J109+J110</f>
        <v>60.231990763171915</v>
      </c>
      <c r="K106" s="424">
        <f>'Расчет базового уровня'!L106</f>
        <v>0</v>
      </c>
      <c r="L106" s="447">
        <f>L108+L109+L110</f>
        <v>50.484659813527045</v>
      </c>
      <c r="M106" s="424">
        <f>'Расчет базового уровня'!N106</f>
        <v>0</v>
      </c>
      <c r="N106" s="447">
        <f>N108+N109+N110</f>
        <v>39.820697741327578</v>
      </c>
      <c r="O106" s="424">
        <f>'Расчет базового уровня'!P106</f>
        <v>0</v>
      </c>
      <c r="P106" s="447">
        <f>P108+P109+P110</f>
        <v>7.8175072195159716</v>
      </c>
      <c r="Q106" s="424">
        <f>'Расчет базового уровня'!R106</f>
        <v>0</v>
      </c>
      <c r="R106" s="447">
        <f>R108+R109+R110</f>
        <v>1.298476639378169</v>
      </c>
      <c r="S106" s="424">
        <f>'Расчет базового уровня'!T106</f>
        <v>0</v>
      </c>
      <c r="T106" s="447">
        <f>T108+T109+T110</f>
        <v>0</v>
      </c>
      <c r="U106" s="424">
        <f>'Расчет базового уровня'!V106</f>
        <v>0</v>
      </c>
      <c r="V106" s="447">
        <f>V108+V109+V110</f>
        <v>0</v>
      </c>
      <c r="W106" s="424">
        <f>'Расчет базового уровня'!X106</f>
        <v>0</v>
      </c>
      <c r="X106" s="447">
        <f>X108+X109+X110</f>
        <v>0</v>
      </c>
      <c r="Y106" s="424">
        <f>'Расчет базового уровня'!Z106</f>
        <v>0</v>
      </c>
      <c r="Z106" s="447">
        <f>Z108+Z109+Z110</f>
        <v>0</v>
      </c>
      <c r="AA106" s="424">
        <f>'Расчет базового уровня'!AB106</f>
        <v>0</v>
      </c>
      <c r="AB106" s="447">
        <f>AB108+AB109+AB110</f>
        <v>30.913229696375534</v>
      </c>
      <c r="AC106" s="424">
        <f>'Расчет базового уровня'!AD106</f>
        <v>0</v>
      </c>
      <c r="AD106" s="447">
        <f>AD108+AD109+AD110</f>
        <v>54.765183794158801</v>
      </c>
      <c r="AE106" s="424">
        <f>'Расчет базового уровня'!AF106</f>
        <v>0</v>
      </c>
      <c r="AF106" s="447">
        <f>AF108+AF109+AF110</f>
        <v>51.923173853109667</v>
      </c>
      <c r="AG106" s="74"/>
      <c r="AH106" s="74"/>
      <c r="AI106" s="74"/>
      <c r="AJ106" s="74"/>
      <c r="AK106" s="74"/>
      <c r="AL106" s="74"/>
      <c r="AM106" s="74"/>
      <c r="AN106" s="74"/>
      <c r="AO106" s="74"/>
      <c r="AP106" s="74"/>
      <c r="AQ106" s="74"/>
      <c r="AR106" s="74"/>
    </row>
    <row r="107" spans="1:51" ht="23.25" customHeight="1" x14ac:dyDescent="0.25">
      <c r="A107" s="452" t="s">
        <v>874</v>
      </c>
      <c r="B107" s="416" t="s">
        <v>1181</v>
      </c>
      <c r="C107" s="428"/>
      <c r="D107" s="453">
        <f>IF(C106=0,0,D106/C106-1)</f>
        <v>0</v>
      </c>
      <c r="E107" s="74"/>
      <c r="F107" s="74"/>
      <c r="G107" s="452" t="s">
        <v>1340</v>
      </c>
      <c r="H107" s="416" t="s">
        <v>1181</v>
      </c>
      <c r="I107" s="428"/>
      <c r="J107" s="425">
        <f>IF(I106=0,0,J106/I106-1)</f>
        <v>0</v>
      </c>
      <c r="K107" s="428"/>
      <c r="L107" s="425">
        <f>IF(K106=0,0,L106/K106-1)</f>
        <v>0</v>
      </c>
      <c r="M107" s="428"/>
      <c r="N107" s="425">
        <f>IF(M106=0,0,N106/M106-1)</f>
        <v>0</v>
      </c>
      <c r="O107" s="428"/>
      <c r="P107" s="425">
        <f>IF(O106=0,0,P106/O106-1)</f>
        <v>0</v>
      </c>
      <c r="Q107" s="428"/>
      <c r="R107" s="425">
        <f>IF(Q106=0,0,R106/Q106-1)</f>
        <v>0</v>
      </c>
      <c r="S107" s="428"/>
      <c r="T107" s="425">
        <f>IF(S106=0,0,T106/S106-1)</f>
        <v>0</v>
      </c>
      <c r="U107" s="428"/>
      <c r="V107" s="425">
        <f>IF(U106=0,0,V106/U106-1)</f>
        <v>0</v>
      </c>
      <c r="W107" s="428"/>
      <c r="X107" s="425">
        <f>IF(W106=0,0,X106/W106-1)</f>
        <v>0</v>
      </c>
      <c r="Y107" s="428"/>
      <c r="Z107" s="425">
        <f>IF(Y106=0,0,Z106/Y106-1)</f>
        <v>0</v>
      </c>
      <c r="AA107" s="428"/>
      <c r="AB107" s="425">
        <f>IF(AA106=0,0,AB106/AA106-1)</f>
        <v>0</v>
      </c>
      <c r="AC107" s="428"/>
      <c r="AD107" s="425">
        <f>IF(AC106=0,0,AD106/AC106-1)</f>
        <v>0</v>
      </c>
      <c r="AE107" s="428"/>
      <c r="AF107" s="453">
        <f>IF(AE106=0,0,AF106/AE106-1)</f>
        <v>0</v>
      </c>
      <c r="AG107" s="74"/>
      <c r="AH107" s="74"/>
      <c r="AI107" s="74"/>
      <c r="AJ107" s="74"/>
      <c r="AK107" s="74"/>
      <c r="AL107" s="74"/>
      <c r="AM107" s="74"/>
      <c r="AN107" s="74"/>
      <c r="AO107" s="74"/>
      <c r="AP107" s="74"/>
      <c r="AQ107" s="74"/>
      <c r="AR107" s="74"/>
    </row>
    <row r="108" spans="1:51" ht="12.75" customHeight="1" x14ac:dyDescent="0.25">
      <c r="A108" s="452" t="s">
        <v>998</v>
      </c>
      <c r="B108" s="416" t="s">
        <v>842</v>
      </c>
      <c r="C108" s="424">
        <f>'Расчет базового уровня'!D108</f>
        <v>0</v>
      </c>
      <c r="D108" s="459">
        <f>'Система электроснабжения'!C51</f>
        <v>303.06710314778684</v>
      </c>
      <c r="E108" s="419"/>
      <c r="F108" s="74"/>
      <c r="G108" s="452" t="s">
        <v>998</v>
      </c>
      <c r="H108" s="416" t="s">
        <v>842</v>
      </c>
      <c r="I108" s="428"/>
      <c r="J108" s="459">
        <f>'Система электроснабжения'!$E$51</f>
        <v>60.231990763171915</v>
      </c>
      <c r="K108" s="428"/>
      <c r="L108" s="459">
        <f>'Система электроснабжения'!$F$51</f>
        <v>50.484659813527045</v>
      </c>
      <c r="M108" s="428"/>
      <c r="N108" s="459">
        <f>'Система электроснабжения'!$G$50</f>
        <v>39.820697741327578</v>
      </c>
      <c r="O108" s="428"/>
      <c r="P108" s="459">
        <f>'Система электроснабжения'!$H$50</f>
        <v>7.8175072195159716</v>
      </c>
      <c r="Q108" s="428"/>
      <c r="R108" s="459">
        <f>'Система электроснабжения'!$I$50</f>
        <v>1.298476639378169</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0</v>
      </c>
      <c r="AA108" s="428"/>
      <c r="AB108" s="459">
        <f>'Система электроснабжения'!$N$50</f>
        <v>30.913229696375534</v>
      </c>
      <c r="AC108" s="428"/>
      <c r="AD108" s="459">
        <f>'Система электроснабжения'!$O$50</f>
        <v>54.765183794158801</v>
      </c>
      <c r="AE108" s="428"/>
      <c r="AF108" s="459">
        <f>'Система электроснабжения'!$P$50</f>
        <v>51.923173853109667</v>
      </c>
      <c r="AG108" s="74"/>
      <c r="AH108" s="74"/>
      <c r="AI108" s="74"/>
      <c r="AJ108" s="74"/>
      <c r="AK108" s="74"/>
      <c r="AL108" s="74"/>
      <c r="AM108" s="74"/>
      <c r="AN108" s="74"/>
      <c r="AO108" s="74"/>
      <c r="AP108" s="74"/>
      <c r="AQ108" s="74"/>
      <c r="AR108" s="74"/>
    </row>
    <row r="109" spans="1:51" ht="12.75" customHeight="1" x14ac:dyDescent="0.25">
      <c r="A109" s="452" t="s">
        <v>541</v>
      </c>
      <c r="B109" s="416" t="s">
        <v>842</v>
      </c>
      <c r="C109" s="424">
        <f>'Расчет базового уровня'!D109</f>
        <v>0</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0</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0</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0</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0</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0</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0</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0</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0</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0</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0</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0</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0</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0</v>
      </c>
      <c r="AG109" s="74"/>
      <c r="AH109" s="74"/>
      <c r="AI109" s="74"/>
      <c r="AJ109" s="74"/>
      <c r="AK109" s="74"/>
      <c r="AL109" s="74"/>
      <c r="AM109" s="74"/>
      <c r="AN109" s="74"/>
      <c r="AO109" s="74"/>
      <c r="AP109" s="74"/>
      <c r="AQ109" s="74"/>
      <c r="AR109" s="74"/>
    </row>
    <row r="110" spans="1:51" ht="12.75" customHeight="1" x14ac:dyDescent="0.25">
      <c r="A110" s="452" t="s">
        <v>1351</v>
      </c>
      <c r="B110" s="416" t="s">
        <v>842</v>
      </c>
      <c r="C110" s="424">
        <f>'Расчет базового уровня'!D110</f>
        <v>0</v>
      </c>
      <c r="D110" s="459">
        <f>IF(OR('Список мероприятий'!$AB$45=1,'Список мероприятий'!$AB$50=1),0.9*'Расчет базового уровня'!D110,'Расчет базового уровня'!D110)*IF('Список мероприятий'!AB52=1,0.957,1)</f>
        <v>0</v>
      </c>
      <c r="E110" s="74"/>
      <c r="F110" s="74"/>
      <c r="G110" s="452" t="s">
        <v>1351</v>
      </c>
      <c r="H110" s="416" t="s">
        <v>842</v>
      </c>
      <c r="I110" s="428"/>
      <c r="J110" s="459">
        <f>$D$110/12</f>
        <v>0</v>
      </c>
      <c r="K110" s="428"/>
      <c r="L110" s="459">
        <f>$D$110/12</f>
        <v>0</v>
      </c>
      <c r="M110" s="428"/>
      <c r="N110" s="459">
        <f>$D$110/12</f>
        <v>0</v>
      </c>
      <c r="O110" s="428"/>
      <c r="P110" s="459">
        <f>$D$110/12</f>
        <v>0</v>
      </c>
      <c r="Q110" s="428"/>
      <c r="R110" s="459">
        <f>$D$110/12</f>
        <v>0</v>
      </c>
      <c r="S110" s="428"/>
      <c r="T110" s="459">
        <f>$D$110/12</f>
        <v>0</v>
      </c>
      <c r="U110" s="428"/>
      <c r="V110" s="459">
        <f>$D$110/12</f>
        <v>0</v>
      </c>
      <c r="W110" s="428"/>
      <c r="X110" s="459">
        <f>$D$110/12</f>
        <v>0</v>
      </c>
      <c r="Y110" s="428"/>
      <c r="Z110" s="459">
        <f>$D$110/12</f>
        <v>0</v>
      </c>
      <c r="AA110" s="428"/>
      <c r="AB110" s="459">
        <f>$D$110/12</f>
        <v>0</v>
      </c>
      <c r="AC110" s="428"/>
      <c r="AD110" s="459">
        <f>$D$110/12</f>
        <v>0</v>
      </c>
      <c r="AE110" s="428"/>
      <c r="AF110" s="459">
        <f>$D$110/12</f>
        <v>0</v>
      </c>
      <c r="AG110" s="74"/>
      <c r="AH110" s="74"/>
      <c r="AI110" s="74"/>
      <c r="AJ110" s="74"/>
      <c r="AK110" s="74"/>
      <c r="AL110" s="74"/>
      <c r="AM110" s="74"/>
      <c r="AN110" s="74"/>
      <c r="AO110" s="74"/>
      <c r="AP110" s="74"/>
      <c r="AQ110" s="74"/>
      <c r="AR110" s="74"/>
    </row>
    <row r="111" spans="1:51" ht="25.5" customHeight="1" x14ac:dyDescent="0.25">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25">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25">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75" thickBot="1" x14ac:dyDescent="0.3">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75" thickBot="1" x14ac:dyDescent="0.3">
      <c r="A115" s="462" t="s">
        <v>1230</v>
      </c>
      <c r="B115" s="463" t="s">
        <v>1190</v>
      </c>
      <c r="C115" s="464">
        <f>'Расчет базового уровня'!D115</f>
        <v>3.0232829457364341</v>
      </c>
      <c r="D115" s="465">
        <f>D100/('Ввод исходных данных'!$G$45+'Ввод исходных данных'!$D$23)</f>
        <v>3.1407508151735608</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25">
      <c r="A131" s="473" t="s">
        <v>1637</v>
      </c>
      <c r="B131" s="473"/>
      <c r="C131" s="473">
        <f>IF('Список мероприятий'!AB9=1,IFERROR(VLOOKUP(CONCATENATE('Список мероприятий'!D10,'Список мероприятий'!D11),'Библиотека технологий'!$C$3:$D$27,2,0),0),0)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25">
      <c r="A134" s="480" t="s">
        <v>514</v>
      </c>
      <c r="B134" s="481">
        <f>'Расчет базового уровня'!B134</f>
        <v>1712</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1.0622198092130406</v>
      </c>
      <c r="D134" s="481">
        <v>1</v>
      </c>
      <c r="E134" s="483">
        <f>IF(C134=0,0,B134/C134*D134)*(1-D163)</f>
        <v>1611.7191424516527</v>
      </c>
      <c r="F134" s="484">
        <f>E134*(20-$D$145)</f>
        <v>91867.991119744198</v>
      </c>
      <c r="G134" s="483">
        <f t="shared" ref="G134:R134" si="0">$E$134*0.024*G$147</f>
        <v>39151.236720778565</v>
      </c>
      <c r="H134" s="483">
        <f t="shared" si="0"/>
        <v>33087.949306875453</v>
      </c>
      <c r="I134" s="483">
        <f t="shared" si="0"/>
        <v>27927.482487808051</v>
      </c>
      <c r="J134" s="483">
        <f t="shared" si="0"/>
        <v>9179.062860090653</v>
      </c>
      <c r="K134" s="483">
        <f t="shared" si="0"/>
        <v>5044.0362282166916</v>
      </c>
      <c r="L134" s="483">
        <f t="shared" si="0"/>
        <v>0</v>
      </c>
      <c r="M134" s="483">
        <f t="shared" si="0"/>
        <v>0</v>
      </c>
      <c r="N134" s="483">
        <f t="shared" si="0"/>
        <v>0</v>
      </c>
      <c r="O134" s="483">
        <f t="shared" si="0"/>
        <v>0</v>
      </c>
      <c r="P134" s="483">
        <f t="shared" si="0"/>
        <v>22292.009803077301</v>
      </c>
      <c r="Q134" s="483">
        <f t="shared" si="0"/>
        <v>35834.31872561307</v>
      </c>
      <c r="R134" s="483">
        <f t="shared" si="0"/>
        <v>34378.742933682137</v>
      </c>
      <c r="S134" s="485"/>
      <c r="T134" s="74"/>
      <c r="U134" s="74"/>
      <c r="V134" s="74"/>
      <c r="W134" s="74"/>
      <c r="X134" s="74"/>
      <c r="Y134" s="74"/>
      <c r="Z134" s="74"/>
      <c r="AA134" s="74"/>
      <c r="AB134" s="74"/>
    </row>
    <row r="135" spans="1:55" x14ac:dyDescent="0.25">
      <c r="A135" s="480" t="s">
        <v>611</v>
      </c>
      <c r="B135" s="481">
        <f>'Расчет базового уровня'!B135</f>
        <v>280</v>
      </c>
      <c r="C135" s="481">
        <f>'Расчет базового уровня'!C135</f>
        <v>0.76000000000000012</v>
      </c>
      <c r="D135" s="481">
        <v>1</v>
      </c>
      <c r="E135" s="483">
        <f t="shared" ref="E135:E141" si="1">IF(C135=0,0,B135/C135*D135)</f>
        <v>368.4210526315789</v>
      </c>
      <c r="F135" s="484">
        <f t="shared" ref="F135:F143" si="2">E135*(20-$D$145)</f>
        <v>20999.999999999996</v>
      </c>
      <c r="G135" s="483">
        <f t="shared" ref="G135:R135" si="3">$E$135*0.024*G$147</f>
        <v>8949.5368421052626</v>
      </c>
      <c r="H135" s="483">
        <f t="shared" si="3"/>
        <v>7563.5368421052617</v>
      </c>
      <c r="I135" s="483">
        <f t="shared" si="3"/>
        <v>6383.9115789473681</v>
      </c>
      <c r="J135" s="483">
        <f t="shared" si="3"/>
        <v>2098.2315789473682</v>
      </c>
      <c r="K135" s="483">
        <f t="shared" si="3"/>
        <v>1153.0105263157891</v>
      </c>
      <c r="L135" s="483">
        <f t="shared" si="3"/>
        <v>0</v>
      </c>
      <c r="M135" s="483">
        <f t="shared" si="3"/>
        <v>0</v>
      </c>
      <c r="N135" s="483">
        <f t="shared" si="3"/>
        <v>0</v>
      </c>
      <c r="O135" s="483">
        <f t="shared" si="3"/>
        <v>0</v>
      </c>
      <c r="P135" s="483">
        <f t="shared" si="3"/>
        <v>5095.7052631578945</v>
      </c>
      <c r="Q135" s="483">
        <f t="shared" si="3"/>
        <v>8191.3263157894735</v>
      </c>
      <c r="R135" s="483">
        <f t="shared" si="3"/>
        <v>7858.5978947368421</v>
      </c>
      <c r="S135" s="485"/>
      <c r="T135" s="74"/>
      <c r="U135" s="74"/>
      <c r="V135" s="74"/>
      <c r="W135" s="74"/>
      <c r="X135" s="74"/>
      <c r="Y135" s="74"/>
      <c r="Z135" s="74"/>
      <c r="AA135" s="74"/>
      <c r="AB135" s="74"/>
    </row>
    <row r="136" spans="1:55" x14ac:dyDescent="0.25">
      <c r="A136" s="480" t="s">
        <v>612</v>
      </c>
      <c r="B136" s="481">
        <f>'Расчет базового уровня'!B136</f>
        <v>16</v>
      </c>
      <c r="C136" s="481">
        <f>IF('Список мероприятий'!AB14=1,VLOOKUP('Список мероприятий'!D15,'Библиотека технологий'!A40:B47,2,0),'Расчет базового уровня'!C136)</f>
        <v>0.55000000000000004</v>
      </c>
      <c r="D136" s="481">
        <v>1</v>
      </c>
      <c r="E136" s="483">
        <f t="shared" si="1"/>
        <v>29.09090909090909</v>
      </c>
      <c r="F136" s="484">
        <f t="shared" si="2"/>
        <v>1658.181818181818</v>
      </c>
      <c r="G136" s="483">
        <f t="shared" ref="G136:R136" si="4">$E$136*0.024*G$147</f>
        <v>706.66472727272719</v>
      </c>
      <c r="H136" s="483">
        <f t="shared" si="4"/>
        <v>597.22472727272725</v>
      </c>
      <c r="I136" s="483">
        <f t="shared" si="4"/>
        <v>504.08029090909088</v>
      </c>
      <c r="J136" s="483">
        <f t="shared" si="4"/>
        <v>165.67854545454546</v>
      </c>
      <c r="K136" s="483">
        <f t="shared" si="4"/>
        <v>91.042909090909063</v>
      </c>
      <c r="L136" s="483">
        <f t="shared" si="4"/>
        <v>0</v>
      </c>
      <c r="M136" s="483">
        <f t="shared" si="4"/>
        <v>0</v>
      </c>
      <c r="N136" s="483">
        <f t="shared" si="4"/>
        <v>0</v>
      </c>
      <c r="O136" s="483">
        <f t="shared" si="4"/>
        <v>0</v>
      </c>
      <c r="P136" s="483">
        <f t="shared" si="4"/>
        <v>402.36218181818185</v>
      </c>
      <c r="Q136" s="483">
        <f t="shared" si="4"/>
        <v>646.79563636363639</v>
      </c>
      <c r="R136" s="483">
        <f t="shared" si="4"/>
        <v>620.52305454545456</v>
      </c>
      <c r="S136" s="485"/>
      <c r="T136" s="74"/>
      <c r="U136" s="74"/>
      <c r="V136" s="74"/>
      <c r="W136" s="74"/>
      <c r="X136" s="74"/>
      <c r="Y136" s="74"/>
      <c r="Z136" s="74"/>
      <c r="AA136" s="74"/>
      <c r="AB136" s="74"/>
    </row>
    <row r="137" spans="1:55" x14ac:dyDescent="0.25">
      <c r="A137" s="480" t="s">
        <v>1588</v>
      </c>
      <c r="B137" s="483">
        <f>'Расчет базового уровня'!B137</f>
        <v>0</v>
      </c>
      <c r="C137" s="486">
        <f>'Расчет базового уровня'!C137</f>
        <v>0.4</v>
      </c>
      <c r="D137" s="483">
        <f>'Расчет базового уровня'!D137</f>
        <v>1</v>
      </c>
      <c r="E137" s="483">
        <f>'Расчет базового уровня'!E137</f>
        <v>0</v>
      </c>
      <c r="F137" s="484">
        <f t="shared" si="2"/>
        <v>0</v>
      </c>
      <c r="G137" s="483">
        <f>'Расчет базового уровня'!G137</f>
        <v>0</v>
      </c>
      <c r="H137" s="483">
        <f>'Расчет базового уровня'!H137</f>
        <v>0</v>
      </c>
      <c r="I137" s="483">
        <f>'Расчет базового уровня'!I137</f>
        <v>0</v>
      </c>
      <c r="J137" s="483">
        <f>'Расчет базового уровня'!J137</f>
        <v>0</v>
      </c>
      <c r="K137" s="483">
        <f>'Расчет базового уровня'!K137</f>
        <v>0</v>
      </c>
      <c r="L137" s="483">
        <f>'Расчет базового уровня'!L137</f>
        <v>0</v>
      </c>
      <c r="M137" s="483">
        <f>'Расчет базового уровня'!M137</f>
        <v>0</v>
      </c>
      <c r="N137" s="483">
        <f>'Расчет базового уровня'!N137</f>
        <v>0</v>
      </c>
      <c r="O137" s="483">
        <f>'Расчет базового уровня'!O137</f>
        <v>0</v>
      </c>
      <c r="P137" s="483">
        <f>'Расчет базового уровня'!P137</f>
        <v>0</v>
      </c>
      <c r="Q137" s="483">
        <f>'Расчет базового уровня'!Q137</f>
        <v>0</v>
      </c>
      <c r="R137" s="483">
        <f>'Расчет базового уровня'!R137</f>
        <v>0</v>
      </c>
      <c r="S137" s="485"/>
      <c r="T137" s="74"/>
      <c r="U137" s="74"/>
      <c r="V137" s="74"/>
      <c r="W137" s="74"/>
      <c r="X137" s="74"/>
      <c r="Y137" s="74"/>
      <c r="Z137" s="74"/>
      <c r="AA137" s="74"/>
      <c r="AB137" s="74"/>
    </row>
    <row r="138" spans="1:55" x14ac:dyDescent="0.25">
      <c r="A138" s="480" t="s">
        <v>1329</v>
      </c>
      <c r="B138" s="481">
        <f>'Расчет базового уровня'!B138</f>
        <v>720</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2.3200000000000003</v>
      </c>
      <c r="D138" s="481">
        <v>1</v>
      </c>
      <c r="E138" s="483">
        <f t="shared" si="1"/>
        <v>310.34482758620686</v>
      </c>
      <c r="F138" s="484">
        <f t="shared" si="2"/>
        <v>17689.65517241379</v>
      </c>
      <c r="G138" s="483">
        <f t="shared" ref="G138:R138" si="5">$E$138*0.024*G$147</f>
        <v>7538.7724137931018</v>
      </c>
      <c r="H138" s="483">
        <f t="shared" si="5"/>
        <v>6371.255172413792</v>
      </c>
      <c r="I138" s="483">
        <f t="shared" si="5"/>
        <v>5377.5806896551721</v>
      </c>
      <c r="J138" s="483">
        <f t="shared" si="5"/>
        <v>1767.4758620689654</v>
      </c>
      <c r="K138" s="483">
        <f t="shared" si="5"/>
        <v>971.25517241379282</v>
      </c>
      <c r="L138" s="483">
        <f t="shared" si="5"/>
        <v>0</v>
      </c>
      <c r="M138" s="483">
        <f t="shared" si="5"/>
        <v>0</v>
      </c>
      <c r="N138" s="483">
        <f t="shared" si="5"/>
        <v>0</v>
      </c>
      <c r="O138" s="483">
        <f t="shared" si="5"/>
        <v>0</v>
      </c>
      <c r="P138" s="483">
        <f t="shared" si="5"/>
        <v>4292.4413793103449</v>
      </c>
      <c r="Q138" s="483">
        <f t="shared" si="5"/>
        <v>6900.0827586206897</v>
      </c>
      <c r="R138" s="483">
        <f t="shared" si="5"/>
        <v>6619.8041379310343</v>
      </c>
      <c r="S138" s="485"/>
      <c r="T138" s="74"/>
      <c r="U138" s="74"/>
      <c r="V138" s="74"/>
      <c r="W138" s="74"/>
      <c r="X138" s="74"/>
      <c r="Y138" s="74"/>
      <c r="Z138" s="74"/>
      <c r="AA138" s="74"/>
      <c r="AB138" s="74"/>
    </row>
    <row r="139" spans="1:55" x14ac:dyDescent="0.25">
      <c r="A139" s="480" t="s">
        <v>1330</v>
      </c>
      <c r="B139" s="481">
        <f>IF('Список мероприятий'!AB24=0,'Расчет базового уровня'!B139,'Расчет базового уровня'!B140+'Расчет базового уровня'!B139)</f>
        <v>0</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2.053639846743295</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0.9</v>
      </c>
      <c r="E139" s="483">
        <f>IF(C139=0,0,B139/C139*D139)</f>
        <v>0</v>
      </c>
      <c r="F139" s="484">
        <f t="shared" si="2"/>
        <v>0</v>
      </c>
      <c r="G139" s="483">
        <f t="shared" ref="G139:R140" si="6">$E$139*0.024*G$147</f>
        <v>0</v>
      </c>
      <c r="H139" s="483">
        <f t="shared" si="6"/>
        <v>0</v>
      </c>
      <c r="I139" s="483">
        <f t="shared" si="6"/>
        <v>0</v>
      </c>
      <c r="J139" s="483">
        <f t="shared" si="6"/>
        <v>0</v>
      </c>
      <c r="K139" s="483">
        <f t="shared" si="6"/>
        <v>0</v>
      </c>
      <c r="L139" s="483">
        <f t="shared" si="6"/>
        <v>0</v>
      </c>
      <c r="M139" s="483">
        <f t="shared" si="6"/>
        <v>0</v>
      </c>
      <c r="N139" s="483">
        <f t="shared" si="6"/>
        <v>0</v>
      </c>
      <c r="O139" s="483">
        <f t="shared" si="6"/>
        <v>0</v>
      </c>
      <c r="P139" s="483">
        <f t="shared" si="6"/>
        <v>0</v>
      </c>
      <c r="Q139" s="483">
        <f t="shared" si="6"/>
        <v>0</v>
      </c>
      <c r="R139" s="483">
        <f t="shared" si="6"/>
        <v>0</v>
      </c>
      <c r="S139" s="485"/>
      <c r="T139" s="74"/>
      <c r="U139" s="74"/>
      <c r="V139" s="74"/>
      <c r="W139" s="74"/>
      <c r="X139" s="74"/>
      <c r="Y139" s="74"/>
      <c r="Z139" s="74"/>
      <c r="AA139" s="74"/>
      <c r="AB139" s="74"/>
    </row>
    <row r="140" spans="1:55" x14ac:dyDescent="0.25">
      <c r="A140" s="480" t="s">
        <v>1331</v>
      </c>
      <c r="B140" s="481">
        <f>'Расчет базового уровня'!B140+'Расчет базового уровня'!B139-'Расчет после реализации'!B139</f>
        <v>0</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2.053639846743295</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0.9</v>
      </c>
      <c r="E140" s="483">
        <f>IF(C140=0,0,B140/C140*D140)</f>
        <v>0</v>
      </c>
      <c r="F140" s="484">
        <f t="shared" si="2"/>
        <v>0</v>
      </c>
      <c r="G140" s="483">
        <f t="shared" si="6"/>
        <v>0</v>
      </c>
      <c r="H140" s="483">
        <f t="shared" si="6"/>
        <v>0</v>
      </c>
      <c r="I140" s="483">
        <f t="shared" si="6"/>
        <v>0</v>
      </c>
      <c r="J140" s="483">
        <f t="shared" si="6"/>
        <v>0</v>
      </c>
      <c r="K140" s="483">
        <f t="shared" si="6"/>
        <v>0</v>
      </c>
      <c r="L140" s="483">
        <f t="shared" si="6"/>
        <v>0</v>
      </c>
      <c r="M140" s="483">
        <f t="shared" si="6"/>
        <v>0</v>
      </c>
      <c r="N140" s="483">
        <f t="shared" si="6"/>
        <v>0</v>
      </c>
      <c r="O140" s="483">
        <f t="shared" si="6"/>
        <v>0</v>
      </c>
      <c r="P140" s="483">
        <f t="shared" si="6"/>
        <v>0</v>
      </c>
      <c r="Q140" s="483">
        <f t="shared" si="6"/>
        <v>0</v>
      </c>
      <c r="R140" s="483">
        <f t="shared" si="6"/>
        <v>0</v>
      </c>
      <c r="S140" s="485"/>
      <c r="T140" s="74"/>
      <c r="U140" s="74"/>
      <c r="V140" s="74"/>
      <c r="W140" s="74"/>
      <c r="X140" s="74"/>
      <c r="Y140" s="74"/>
      <c r="Z140" s="74"/>
      <c r="AA140" s="74"/>
      <c r="AB140" s="74"/>
    </row>
    <row r="141" spans="1:55" x14ac:dyDescent="0.25">
      <c r="A141" s="480" t="s">
        <v>1332</v>
      </c>
      <c r="B141" s="481">
        <f>'Расчет базового уровня'!B141</f>
        <v>0</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2.053639846743295</v>
      </c>
      <c r="D141" s="481">
        <v>1</v>
      </c>
      <c r="E141" s="483">
        <f t="shared" si="1"/>
        <v>0</v>
      </c>
      <c r="F141" s="484">
        <f t="shared" si="2"/>
        <v>0</v>
      </c>
      <c r="G141" s="483">
        <f t="shared" ref="G141:R141" si="7">$E$141*0.024*G$147</f>
        <v>0</v>
      </c>
      <c r="H141" s="483">
        <f t="shared" si="7"/>
        <v>0</v>
      </c>
      <c r="I141" s="483">
        <f t="shared" si="7"/>
        <v>0</v>
      </c>
      <c r="J141" s="483">
        <f t="shared" si="7"/>
        <v>0</v>
      </c>
      <c r="K141" s="483">
        <f t="shared" si="7"/>
        <v>0</v>
      </c>
      <c r="L141" s="483">
        <f t="shared" si="7"/>
        <v>0</v>
      </c>
      <c r="M141" s="483">
        <f t="shared" si="7"/>
        <v>0</v>
      </c>
      <c r="N141" s="483">
        <f t="shared" si="7"/>
        <v>0</v>
      </c>
      <c r="O141" s="483">
        <f t="shared" si="7"/>
        <v>0</v>
      </c>
      <c r="P141" s="483">
        <f t="shared" si="7"/>
        <v>0</v>
      </c>
      <c r="Q141" s="483">
        <f t="shared" si="7"/>
        <v>0</v>
      </c>
      <c r="R141" s="483">
        <f t="shared" si="7"/>
        <v>0</v>
      </c>
      <c r="S141" s="485"/>
      <c r="T141" s="74"/>
      <c r="U141" s="74"/>
      <c r="V141" s="74"/>
      <c r="W141" s="74"/>
      <c r="X141" s="74"/>
      <c r="Y141" s="74"/>
      <c r="Z141" s="74"/>
      <c r="AA141" s="74"/>
      <c r="AB141" s="74"/>
    </row>
    <row r="142" spans="1:55" x14ac:dyDescent="0.25">
      <c r="A142" s="480" t="s">
        <v>1328</v>
      </c>
      <c r="B142" s="481">
        <f>'Расчет базового уровня'!B142</f>
        <v>720</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1.632183908045977</v>
      </c>
      <c r="D142" s="486">
        <f>('Ввод исходных данных'!D83-'Расчет базового уровня'!$D$160)/('Ввод исходных данных'!D83-'Расчет базового уровня'!$D$145)</f>
        <v>0.2</v>
      </c>
      <c r="E142" s="483">
        <f>IF(C142=0,0,B142/C142*D142)</f>
        <v>88.225352112676063</v>
      </c>
      <c r="F142" s="484">
        <f t="shared" si="2"/>
        <v>5028.8450704225352</v>
      </c>
      <c r="G142" s="483">
        <f t="shared" ref="G142:R142" si="8">$E$142*0.024*G$147</f>
        <v>2143.134963380282</v>
      </c>
      <c r="H142" s="483">
        <f t="shared" si="8"/>
        <v>1811.2311887323947</v>
      </c>
      <c r="I142" s="483">
        <f t="shared" si="8"/>
        <v>1528.747727323944</v>
      </c>
      <c r="J142" s="483">
        <f t="shared" si="8"/>
        <v>502.46102535211276</v>
      </c>
      <c r="K142" s="483">
        <f t="shared" si="8"/>
        <v>276.11006197183099</v>
      </c>
      <c r="L142" s="483">
        <f t="shared" si="8"/>
        <v>0</v>
      </c>
      <c r="M142" s="483">
        <f t="shared" si="8"/>
        <v>0</v>
      </c>
      <c r="N142" s="483">
        <f t="shared" si="8"/>
        <v>0</v>
      </c>
      <c r="O142" s="483">
        <f t="shared" si="8"/>
        <v>0</v>
      </c>
      <c r="P142" s="483">
        <f t="shared" si="8"/>
        <v>1220.2624901408453</v>
      </c>
      <c r="Q142" s="483">
        <f t="shared" si="8"/>
        <v>1961.5671887323949</v>
      </c>
      <c r="R142" s="483">
        <f t="shared" si="8"/>
        <v>1881.8891087323948</v>
      </c>
      <c r="S142" s="485"/>
      <c r="T142" s="74"/>
      <c r="U142" s="74"/>
      <c r="V142" s="74"/>
      <c r="W142" s="74"/>
      <c r="X142" s="74"/>
      <c r="Y142" s="74"/>
      <c r="Z142" s="74"/>
      <c r="AA142" s="74"/>
      <c r="AB142" s="74"/>
    </row>
    <row r="143" spans="1:55" x14ac:dyDescent="0.25">
      <c r="A143" s="480" t="s">
        <v>1231</v>
      </c>
      <c r="B143" s="481">
        <f>'Расчет базового уровня'!B143</f>
        <v>8</v>
      </c>
      <c r="C143" s="481">
        <f>IF('Список мероприятий'!AB73=1,0.95,'Расчет базового уровня'!C143)</f>
        <v>0.95</v>
      </c>
      <c r="D143" s="486">
        <v>1</v>
      </c>
      <c r="E143" s="483">
        <f>IF(C143=0,0,B143/C143*D143)</f>
        <v>8.4210526315789469</v>
      </c>
      <c r="F143" s="484">
        <f t="shared" si="2"/>
        <v>480</v>
      </c>
      <c r="G143" s="483">
        <f>$E$143*0.024*G$147</f>
        <v>204.56084210526316</v>
      </c>
      <c r="H143" s="483">
        <f t="shared" ref="H143:R143" si="9">$E$143*0.024*H$147</f>
        <v>172.88084210526316</v>
      </c>
      <c r="I143" s="483">
        <f t="shared" si="9"/>
        <v>145.91797894736843</v>
      </c>
      <c r="J143" s="483">
        <f t="shared" si="9"/>
        <v>47.959578947368421</v>
      </c>
      <c r="K143" s="483">
        <f t="shared" si="9"/>
        <v>26.354526315789467</v>
      </c>
      <c r="L143" s="483">
        <f t="shared" si="9"/>
        <v>0</v>
      </c>
      <c r="M143" s="483">
        <f t="shared" si="9"/>
        <v>0</v>
      </c>
      <c r="N143" s="483">
        <f t="shared" si="9"/>
        <v>0</v>
      </c>
      <c r="O143" s="483">
        <f t="shared" si="9"/>
        <v>0</v>
      </c>
      <c r="P143" s="483">
        <f t="shared" si="9"/>
        <v>116.47326315789475</v>
      </c>
      <c r="Q143" s="483">
        <f t="shared" si="9"/>
        <v>187.23031578947371</v>
      </c>
      <c r="R143" s="483">
        <f t="shared" si="9"/>
        <v>179.62509473684213</v>
      </c>
      <c r="S143" s="485"/>
      <c r="T143" s="74"/>
      <c r="U143" s="74"/>
      <c r="V143" s="74"/>
      <c r="W143" s="74"/>
      <c r="X143" s="74"/>
      <c r="Y143" s="74"/>
      <c r="Z143" s="74"/>
      <c r="AA143" s="74"/>
      <c r="AB143" s="74"/>
    </row>
    <row r="144" spans="1:55" x14ac:dyDescent="0.25">
      <c r="A144" s="480" t="s">
        <v>515</v>
      </c>
      <c r="B144" s="481">
        <f>SUM(B134:B142)</f>
        <v>3448</v>
      </c>
      <c r="C144" s="481"/>
      <c r="D144" s="481"/>
      <c r="E144" s="483">
        <f>SUM(E134:E143)</f>
        <v>2416.222336504602</v>
      </c>
      <c r="F144" s="484">
        <f>E144*(20-$D$145)/1000</f>
        <v>137.72467318076232</v>
      </c>
      <c r="G144" s="483">
        <f>SUM(G134:G143)</f>
        <v>58693.906509435197</v>
      </c>
      <c r="H144" s="483">
        <f t="shared" ref="H144:R144" si="10">SUM(H134:H143)</f>
        <v>49604.078079504892</v>
      </c>
      <c r="I144" s="483">
        <f t="shared" si="10"/>
        <v>41867.720753590998</v>
      </c>
      <c r="J144" s="483">
        <f t="shared" si="10"/>
        <v>13760.869450861013</v>
      </c>
      <c r="K144" s="483">
        <f t="shared" si="10"/>
        <v>7561.8094243248033</v>
      </c>
      <c r="L144" s="483">
        <f t="shared" si="10"/>
        <v>0</v>
      </c>
      <c r="M144" s="483">
        <f t="shared" si="10"/>
        <v>0</v>
      </c>
      <c r="N144" s="483">
        <f t="shared" si="10"/>
        <v>0</v>
      </c>
      <c r="O144" s="483">
        <f t="shared" si="10"/>
        <v>0</v>
      </c>
      <c r="P144" s="483">
        <f t="shared" si="10"/>
        <v>33419.25438066246</v>
      </c>
      <c r="Q144" s="483">
        <f t="shared" si="10"/>
        <v>53721.320940908729</v>
      </c>
      <c r="R144" s="483">
        <f t="shared" si="10"/>
        <v>51539.182224364697</v>
      </c>
      <c r="S144" s="485"/>
      <c r="T144" s="74"/>
      <c r="U144" s="74"/>
      <c r="V144" s="74"/>
      <c r="W144" s="74"/>
      <c r="X144" s="74"/>
      <c r="Y144" s="74"/>
      <c r="Z144" s="74"/>
      <c r="AA144" s="74"/>
      <c r="AB144" s="74"/>
    </row>
    <row r="145" spans="1:28" x14ac:dyDescent="0.25">
      <c r="A145" s="74"/>
      <c r="B145" s="488" t="s">
        <v>742</v>
      </c>
      <c r="C145" s="489" t="s">
        <v>747</v>
      </c>
      <c r="D145" s="481">
        <f>VLOOKUP(CONCATENATE('Ввод исходных данных'!$D$10,'Ввод исходных данных'!$D$11),Климатология!$D$9:$BF$548,4,0)</f>
        <v>-37</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25">
      <c r="A146" s="74"/>
      <c r="B146" s="488" t="s">
        <v>1405</v>
      </c>
      <c r="C146" s="489" t="s">
        <v>748</v>
      </c>
      <c r="D146" s="481">
        <f>'Ввод исходных данных'!D246</f>
        <v>231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30</v>
      </c>
      <c r="K146" s="490">
        <f>'Ввод исходных данных'!$I$256</f>
        <v>20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30</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25">
      <c r="A147" s="74"/>
      <c r="B147" s="488" t="s">
        <v>462</v>
      </c>
      <c r="C147" s="489" t="s">
        <v>749</v>
      </c>
      <c r="D147" s="481">
        <f>'Ввод исходных данных'!G264</f>
        <v>5348.71</v>
      </c>
      <c r="E147" s="74"/>
      <c r="F147" s="74"/>
      <c r="G147" s="490">
        <f>'Ввод исходных данных'!$G$252</f>
        <v>1012.15</v>
      </c>
      <c r="H147" s="490">
        <f>'Ввод исходных данных'!$G$253</f>
        <v>855.4</v>
      </c>
      <c r="I147" s="490">
        <f>'Ввод исходных данных'!$G$254</f>
        <v>721.99</v>
      </c>
      <c r="J147" s="490">
        <f>'Ввод исходных данных'!$G$255</f>
        <v>237.3</v>
      </c>
      <c r="K147" s="490">
        <f>'Ввод исходных данных'!$G$256</f>
        <v>130.39999999999998</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576.30000000000007</v>
      </c>
      <c r="Q147" s="490">
        <f>'Ввод исходных данных'!$G$262</f>
        <v>926.40000000000009</v>
      </c>
      <c r="R147" s="490">
        <f>'Ввод исходных данных'!$G$263</f>
        <v>888.7700000000001</v>
      </c>
      <c r="S147" s="74"/>
      <c r="T147" s="74"/>
      <c r="U147" s="74"/>
      <c r="V147" s="74"/>
      <c r="W147" s="74"/>
      <c r="X147" s="74"/>
      <c r="Y147" s="74"/>
      <c r="Z147" s="74"/>
      <c r="AA147" s="74"/>
      <c r="AB147" s="74"/>
    </row>
    <row r="148" spans="1:28" x14ac:dyDescent="0.25">
      <c r="A148" s="491" t="s">
        <v>497</v>
      </c>
      <c r="B148" s="492" t="s">
        <v>531</v>
      </c>
      <c r="C148" s="493" t="s">
        <v>498</v>
      </c>
      <c r="D148" s="494">
        <f>IF(D149&gt;45,10,IF(D149&lt;=20,17,17-(D149-20)*7/25))</f>
        <v>16.579999999999998</v>
      </c>
      <c r="E148" s="74"/>
      <c r="F148" s="495">
        <f>17*D150/1000</f>
        <v>30.6</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25">
      <c r="A149" s="491" t="s">
        <v>499</v>
      </c>
      <c r="B149" s="492" t="s">
        <v>500</v>
      </c>
      <c r="C149" s="493" t="s">
        <v>501</v>
      </c>
      <c r="D149" s="496">
        <f>'Ввод исходных данных'!G45/'Ввод исходных данных'!$D$22</f>
        <v>21.5</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25">
      <c r="A150" s="476" t="s">
        <v>1403</v>
      </c>
      <c r="B150" s="492" t="s">
        <v>1404</v>
      </c>
      <c r="C150" s="497" t="s">
        <v>492</v>
      </c>
      <c r="D150" s="496">
        <f>'Расчет базового уровня'!D150</f>
        <v>1800</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25">
      <c r="A151" s="498" t="s">
        <v>512</v>
      </c>
      <c r="B151" s="499" t="s">
        <v>522</v>
      </c>
      <c r="C151" s="497" t="s">
        <v>526</v>
      </c>
      <c r="D151" s="500">
        <v>30</v>
      </c>
      <c r="E151" s="74"/>
      <c r="F151" s="495">
        <f>(D151*D152*'Ввод исходных данных'!$D$22*0.28+D189*0.28)*1.006*0.001*(20+25)+E161*(20+25)</f>
        <v>87.051341080407482</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25">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25">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25">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25">
      <c r="A158" s="491" t="s">
        <v>527</v>
      </c>
      <c r="B158" s="492" t="s">
        <v>532</v>
      </c>
      <c r="C158" s="489" t="s">
        <v>746</v>
      </c>
      <c r="D158" s="503">
        <f>IF('Список мероприятий'!AB37=1,1.05,'Расчет базового уровня'!D158)</f>
        <v>1.05</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25">
      <c r="A159" s="469" t="s">
        <v>743</v>
      </c>
      <c r="B159" s="504" t="s">
        <v>903</v>
      </c>
      <c r="C159" s="489" t="s">
        <v>747</v>
      </c>
      <c r="D159" s="95">
        <f>IF('Список мероприятий'!AB24=1,15,'Ввод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25">
      <c r="A160" s="469" t="s">
        <v>744</v>
      </c>
      <c r="B160" s="504" t="s">
        <v>904</v>
      </c>
      <c r="C160" s="489" t="s">
        <v>747</v>
      </c>
      <c r="D160" s="500">
        <f>'Ввод исходных данных'!$D$85</f>
        <v>7</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25">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500">
        <f>0.28*(4*'Ввод исходных данных'!$D$23*'Расчет базового уровня'!$D$152*0.5+'Расчет базового уровня'!$D$162*'Расчет базового уровня'!$D$154*0.5)*'Расчет базового уровня'!$D$155*0.024*G147</f>
        <v>0</v>
      </c>
      <c r="H161" s="500">
        <f>0.28*(4*'Ввод исходных данных'!$D$23*'Расчет базового уровня'!$D$152*0.5+'Расчет базового уровня'!$D$162*'Расчет базового уровня'!$D$154*0.5)*'Расчет базового уровня'!$D$155*0.024*H147</f>
        <v>0</v>
      </c>
      <c r="I161" s="500">
        <f>0.28*(4*'Ввод исходных данных'!$D$23*'Расчет базового уровня'!$D$152*0.5+'Расчет базового уровня'!$D$162*'Расчет базового уровня'!$D$154*0.5)*'Расчет базового уровня'!$D$155*0.024*I147</f>
        <v>0</v>
      </c>
      <c r="J161" s="500">
        <f>0.28*(4*'Ввод исходных данных'!$D$23*'Расчет базового уровня'!$D$152*0.5+'Расчет базового уровня'!$D$162*'Расчет базового уровня'!$D$154*0.5)*'Расчет базового уровня'!$D$155*0.024*J147</f>
        <v>0</v>
      </c>
      <c r="K161" s="500">
        <f>0.28*(4*'Ввод исходных данных'!$D$23*'Расчет базового уровня'!$D$152*0.5+'Расчет базового уровня'!$D$162*'Расчет базового уровня'!$D$154*0.5)*'Расчет базового уровня'!$D$155*0.024*K147</f>
        <v>0</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0</v>
      </c>
      <c r="Q161" s="500">
        <f>0.28*(4*'Ввод исходных данных'!$D$23*'Расчет базового уровня'!$D$152*0.5+'Расчет базового уровня'!$D$162*'Расчет базового уровня'!$D$154*0.5)*'Расчет базового уровня'!$D$155*0.024*Q147</f>
        <v>0</v>
      </c>
      <c r="R161" s="500">
        <f>0.28*(4*'Ввод исходных данных'!$D$23*'Расчет базового уровня'!$D$152*0.5+'Расчет базового уровня'!$D$162*'Расчет базового уровня'!$D$154*0.5)*'Расчет базового уровня'!$D$155*0.024*R147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IF('Ввод исходных данных'!D23=0,0,($B$137/(0.12*(1-'Ввод исходных данных'!$D$35/'Ввод исходных данных'!$G$59)+0.86*('Ввод исходных данных'!$D$35/'Ввод исходных данных'!$G$59)))*('Расчет базового уровня'!$D$182/10)^(1/2))</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25">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25">
      <c r="A165" s="506" t="s">
        <v>905</v>
      </c>
      <c r="B165" s="507" t="s">
        <v>1474</v>
      </c>
      <c r="C165" s="489" t="s">
        <v>906</v>
      </c>
      <c r="D165" s="508">
        <f>D166*365/(D146+D167*(D168-D146))</f>
        <v>96.902654867256643</v>
      </c>
      <c r="E165" s="74"/>
      <c r="F165" s="74"/>
      <c r="G165" s="508">
        <f>'Расчет базового уровня'!G167</f>
        <v>97.189349112426029</v>
      </c>
      <c r="H165" s="508">
        <f>'Расчет базового уровня'!H167</f>
        <v>97.189349112426029</v>
      </c>
      <c r="I165" s="508">
        <f>'Расчет базового уровня'!I167</f>
        <v>97.189349112426029</v>
      </c>
      <c r="J165" s="508">
        <f>'Расчет базового уровня'!J167</f>
        <v>97.189349112426029</v>
      </c>
      <c r="K165" s="508">
        <f>'Расчет базового уровня'!K167</f>
        <v>87.470414201183431</v>
      </c>
      <c r="L165" s="508">
        <f>'Расчет базового уровня'!L167</f>
        <v>87.470414201183431</v>
      </c>
      <c r="M165" s="508">
        <f>'Расчет базового уровня'!M167</f>
        <v>87.470414201183431</v>
      </c>
      <c r="N165" s="508">
        <f>'Расчет базового уровня'!N167</f>
        <v>87.470414201183431</v>
      </c>
      <c r="O165" s="508">
        <f>'Расчет базового уровня'!O167</f>
        <v>87.470414201183431</v>
      </c>
      <c r="P165" s="508">
        <f>'Расчет базового уровня'!P167</f>
        <v>97.189349112426029</v>
      </c>
      <c r="Q165" s="508">
        <f>'Расчет базового уровня'!Q167</f>
        <v>97.189349112426029</v>
      </c>
      <c r="R165" s="508">
        <f>'Расчет базового уровня'!R167</f>
        <v>97.189349112426029</v>
      </c>
      <c r="S165" s="74"/>
      <c r="T165" s="74"/>
      <c r="U165" s="74"/>
      <c r="V165" s="74"/>
      <c r="W165" s="74"/>
      <c r="X165" s="74"/>
    </row>
    <row r="166" spans="1:31" ht="15.75" customHeight="1" x14ac:dyDescent="0.25">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25">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25">
      <c r="A168" s="506"/>
      <c r="B168" s="507" t="s">
        <v>546</v>
      </c>
      <c r="C168" s="489" t="s">
        <v>543</v>
      </c>
      <c r="D168" s="511">
        <f>365-'Ввод исходных данных'!D110</f>
        <v>351</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30</v>
      </c>
      <c r="M168" s="511">
        <f>M163-M164*'Ввод исходных данных'!$D$110</f>
        <v>17</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25">
      <c r="A169" s="506" t="s">
        <v>908</v>
      </c>
      <c r="B169" s="507" t="s">
        <v>547</v>
      </c>
      <c r="C169" s="489" t="s">
        <v>559</v>
      </c>
      <c r="D169" s="512">
        <f>D165*'Ввод исходных данных'!$D$22/24/1000</f>
        <v>0.48451327433628327</v>
      </c>
      <c r="E169" s="74"/>
      <c r="F169" s="74"/>
      <c r="G169" s="512">
        <f>G165*'Ввод исходных данных'!$D$22/24/1000</f>
        <v>0.48594674556213013</v>
      </c>
      <c r="H169" s="512">
        <f>H165*'Ввод исходных данных'!$D$22/24/1000</f>
        <v>0.48594674556213013</v>
      </c>
      <c r="I169" s="512">
        <f>I165*'Ввод исходных данных'!$D$22/24/1000</f>
        <v>0.48594674556213013</v>
      </c>
      <c r="J169" s="512">
        <f>J165*'Ввод исходных данных'!$D$22/24/1000</f>
        <v>0.48594674556213013</v>
      </c>
      <c r="K169" s="512">
        <f>K165*'Ввод исходных данных'!$D$22/24/1000</f>
        <v>0.43735207100591716</v>
      </c>
      <c r="L169" s="512">
        <f>L165*'Ввод исходных данных'!$D$22/24/1000</f>
        <v>0.43735207100591716</v>
      </c>
      <c r="M169" s="512">
        <f>M165*'Ввод исходных данных'!$D$22/24/1000</f>
        <v>0.43735207100591716</v>
      </c>
      <c r="N169" s="512">
        <f>N165*'Ввод исходных данных'!$D$22/24/1000</f>
        <v>0.43735207100591716</v>
      </c>
      <c r="O169" s="512">
        <f>O165*'Ввод исходных данных'!$D$22/24/1000</f>
        <v>0.43735207100591716</v>
      </c>
      <c r="P169" s="512">
        <f>P165*'Ввод исходных данных'!$D$22/24/1000</f>
        <v>0.48594674556213013</v>
      </c>
      <c r="Q169" s="512">
        <f>Q165*'Ввод исходных данных'!$D$22/24/1000</f>
        <v>0.48594674556213013</v>
      </c>
      <c r="R169" s="512">
        <f>R165*'Ввод исходных данных'!$D$22/24/1000</f>
        <v>0.48594674556213013</v>
      </c>
      <c r="S169" s="74"/>
      <c r="T169" s="74"/>
      <c r="U169" s="74"/>
      <c r="V169" s="74"/>
      <c r="W169" s="74"/>
      <c r="X169" s="74"/>
    </row>
    <row r="170" spans="1:31" ht="15.75" customHeight="1" x14ac:dyDescent="0.25">
      <c r="A170" s="506" t="s">
        <v>909</v>
      </c>
      <c r="B170" s="507" t="s">
        <v>548</v>
      </c>
      <c r="C170" s="489" t="s">
        <v>559</v>
      </c>
      <c r="D170" s="512">
        <f>D169*'Система электроснабжения'!$C$55</f>
        <v>2.4361557706532766</v>
      </c>
      <c r="E170" s="74"/>
      <c r="F170" s="74"/>
      <c r="G170" s="512">
        <f>G169*'Система электроснабжения'!$C$55</f>
        <v>2.4433633321049126</v>
      </c>
      <c r="H170" s="512">
        <f>H169*'Система электроснабжения'!$C$55</f>
        <v>2.4433633321049126</v>
      </c>
      <c r="I170" s="512">
        <f>I169*'Система электроснабжения'!$C$55</f>
        <v>2.4433633321049126</v>
      </c>
      <c r="J170" s="512">
        <f>J169*'Система электроснабжения'!$C$55</f>
        <v>2.4433633321049126</v>
      </c>
      <c r="K170" s="512">
        <f>K169*'Система электроснабжения'!$C$55</f>
        <v>2.1990269988944218</v>
      </c>
      <c r="L170" s="512">
        <f>L169*'Система электроснабжения'!$C$55</f>
        <v>2.1990269988944218</v>
      </c>
      <c r="M170" s="512">
        <f>M169*'Система электроснабжения'!$C$55</f>
        <v>2.1990269988944218</v>
      </c>
      <c r="N170" s="512">
        <f>N169*'Система электроснабжения'!$C$55</f>
        <v>2.1990269988944218</v>
      </c>
      <c r="O170" s="512">
        <f>O169*'Система электроснабжения'!$C$55</f>
        <v>2.1990269988944218</v>
      </c>
      <c r="P170" s="512">
        <f>P169*'Система электроснабжения'!$C$55</f>
        <v>2.4433633321049126</v>
      </c>
      <c r="Q170" s="512">
        <f>Q169*'Система электроснабжения'!$C$55</f>
        <v>2.4433633321049126</v>
      </c>
      <c r="R170" s="512">
        <f>R169*'Система электроснабжения'!$C$55</f>
        <v>2.4433633321049126</v>
      </c>
      <c r="S170" s="74"/>
      <c r="T170" s="74"/>
      <c r="U170" s="74"/>
      <c r="V170" s="74"/>
      <c r="W170" s="74"/>
      <c r="X170" s="74"/>
    </row>
    <row r="171" spans="1:31" ht="15.75" customHeight="1" x14ac:dyDescent="0.25">
      <c r="A171" s="506" t="s">
        <v>910</v>
      </c>
      <c r="B171" s="507" t="s">
        <v>551</v>
      </c>
      <c r="C171" s="489" t="s">
        <v>513</v>
      </c>
      <c r="D171" s="513">
        <f xml:space="preserve"> (D165*(D172-D173)*(1+D174)*1*D175)/(3.6*24*D176)</f>
        <v>16.192500921828909</v>
      </c>
      <c r="E171" s="74"/>
      <c r="F171" s="74"/>
      <c r="G171" s="513">
        <f xml:space="preserve"> (G165*($D$172-$D$173)*(1+$D$174)*1*$D$175)/(3.6*24*$D$176)</f>
        <v>16.240407729289942</v>
      </c>
      <c r="H171" s="513">
        <f t="shared" ref="H171:R171" si="11" xml:space="preserve"> (H165*($D$172-$D$173)*(1+$D$174)*1*$D$175)/(3.6*24*$D$176)</f>
        <v>16.240407729289942</v>
      </c>
      <c r="I171" s="513">
        <f t="shared" si="11"/>
        <v>16.240407729289942</v>
      </c>
      <c r="J171" s="513">
        <f t="shared" si="11"/>
        <v>16.240407729289942</v>
      </c>
      <c r="K171" s="513">
        <f t="shared" si="11"/>
        <v>14.616366956360947</v>
      </c>
      <c r="L171" s="513">
        <f t="shared" si="11"/>
        <v>14.616366956360947</v>
      </c>
      <c r="M171" s="513">
        <f t="shared" si="11"/>
        <v>14.616366956360947</v>
      </c>
      <c r="N171" s="513">
        <f t="shared" si="11"/>
        <v>14.616366956360947</v>
      </c>
      <c r="O171" s="513">
        <f t="shared" si="11"/>
        <v>14.616366956360947</v>
      </c>
      <c r="P171" s="513">
        <f t="shared" si="11"/>
        <v>16.240407729289942</v>
      </c>
      <c r="Q171" s="513">
        <f t="shared" si="11"/>
        <v>16.240407729289942</v>
      </c>
      <c r="R171" s="513">
        <f t="shared" si="11"/>
        <v>16.240407729289942</v>
      </c>
      <c r="S171" s="74"/>
      <c r="T171" s="74"/>
      <c r="U171" s="74"/>
      <c r="V171" s="74"/>
      <c r="W171" s="74"/>
      <c r="X171" s="74"/>
    </row>
    <row r="172" spans="1:31" ht="15.75" customHeight="1" x14ac:dyDescent="0.25">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8.4188034188034191</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0.25</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25">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25">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25">
      <c r="A177" s="510" t="s">
        <v>914</v>
      </c>
      <c r="B177" s="515" t="s">
        <v>750</v>
      </c>
      <c r="C177" s="489" t="s">
        <v>562</v>
      </c>
      <c r="D177" s="508">
        <f>'Расчет базового уровня'!D179</f>
        <v>21.5</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25">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25">
      <c r="A179" s="510" t="s">
        <v>1572</v>
      </c>
      <c r="B179" s="515" t="s">
        <v>1573</v>
      </c>
      <c r="C179" s="489" t="s">
        <v>1579</v>
      </c>
      <c r="D179" s="508">
        <f>0.28*'Ввод исходных данных'!$G$49*(D181-D182)+0.03*D181*Климатология!$H$2^2</f>
        <v>13.259637820924457</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25">
      <c r="A180" s="510" t="s">
        <v>1575</v>
      </c>
      <c r="B180" s="515" t="s">
        <v>1574</v>
      </c>
      <c r="C180" s="489" t="s">
        <v>1579</v>
      </c>
      <c r="D180" s="508">
        <f>0.55*('Ввод исходных данных'!$G$49-1)*(D181-D182)+0.03*D181*Климатология!$H$2^2</f>
        <v>17.046858168614506</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25">
      <c r="A181" s="510" t="s">
        <v>1576</v>
      </c>
      <c r="B181" s="515"/>
      <c r="C181" s="489" t="s">
        <v>1580</v>
      </c>
      <c r="D181" s="508">
        <f>3463/(273+Климатология!$F$2)</f>
        <v>13.072857682144207</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25">
      <c r="A182" s="510" t="s">
        <v>1577</v>
      </c>
      <c r="B182" s="515"/>
      <c r="C182" s="489" t="s">
        <v>1580</v>
      </c>
      <c r="D182" s="508">
        <f>3463/(273+'Ввод исходных данных'!$D$83)</f>
        <v>11.900343642611684</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510" t="s">
        <v>1571</v>
      </c>
      <c r="B183" s="515"/>
      <c r="C183" s="489" t="s">
        <v>1581</v>
      </c>
      <c r="D183" s="517">
        <f>IF('Список мероприятий'!AB14=1,0.86,'Расчет базового уровня'!D185)</f>
        <v>0.86</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25">
      <c r="A184" s="510" t="s">
        <v>1570</v>
      </c>
      <c r="B184" s="515"/>
      <c r="C184" s="489" t="s">
        <v>1581</v>
      </c>
      <c r="D184" s="517">
        <f>IF('Список мероприятий'!AB73=1,0.16,'Расчет базового уровня'!D186)</f>
        <v>0.16</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25">
      <c r="A185" s="510" t="s">
        <v>1569</v>
      </c>
      <c r="B185" s="515"/>
      <c r="C185" s="489" t="s">
        <v>1582</v>
      </c>
      <c r="D185" s="508">
        <f>(B136/D183)*(D179/10)^(2/3)</f>
        <v>22.454805928065085</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25">
      <c r="A186" s="510" t="s">
        <v>1568</v>
      </c>
      <c r="B186" s="515"/>
      <c r="C186" s="489" t="s">
        <v>1582</v>
      </c>
      <c r="D186" s="508">
        <f>(B143/D184)*(D180/10)^(1/2)</f>
        <v>65.281808661782847</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25">
      <c r="A187" s="510" t="s">
        <v>1567</v>
      </c>
      <c r="B187" s="515"/>
      <c r="C187" s="489" t="s">
        <v>1582</v>
      </c>
      <c r="D187" s="508">
        <f>D185+D186</f>
        <v>87.736614589847932</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25">
      <c r="A188" s="510" t="s">
        <v>1566</v>
      </c>
      <c r="B188" s="515"/>
      <c r="C188" s="489" t="s">
        <v>496</v>
      </c>
      <c r="D188" s="508">
        <f>0.024*D185*'Расчет базового уровня'!$D$147*0.28</f>
        <v>870.38492401507756</v>
      </c>
      <c r="E188" s="74"/>
      <c r="F188" s="74"/>
      <c r="G188" s="508">
        <f>0.024*$D$185*G$147*0.28</f>
        <v>152.72968583101206</v>
      </c>
      <c r="H188" s="508">
        <f t="shared" ref="H188:R188" si="12">0.024*$D$185*H$147*0.28</f>
        <v>129.07669145862542</v>
      </c>
      <c r="I188" s="508">
        <f t="shared" si="12"/>
        <v>108.94561663106495</v>
      </c>
      <c r="J188" s="508">
        <f t="shared" si="12"/>
        <v>35.807691002024562</v>
      </c>
      <c r="K188" s="508">
        <f t="shared" si="12"/>
        <v>19.676876977092299</v>
      </c>
      <c r="L188" s="508">
        <f t="shared" si="12"/>
        <v>0</v>
      </c>
      <c r="M188" s="508">
        <f t="shared" si="12"/>
        <v>0</v>
      </c>
      <c r="N188" s="508">
        <f t="shared" si="12"/>
        <v>0</v>
      </c>
      <c r="O188" s="508">
        <f t="shared" si="12"/>
        <v>0</v>
      </c>
      <c r="P188" s="508">
        <f t="shared" si="12"/>
        <v>86.96153529063109</v>
      </c>
      <c r="Q188" s="508">
        <f t="shared" si="12"/>
        <v>139.79032846302385</v>
      </c>
      <c r="R188" s="508">
        <f t="shared" si="12"/>
        <v>134.11210085069268</v>
      </c>
      <c r="S188" s="74"/>
      <c r="T188" s="74"/>
      <c r="U188" s="74"/>
      <c r="V188" s="74"/>
      <c r="W188" s="74"/>
      <c r="X188" s="74"/>
    </row>
    <row r="189" spans="1:26" x14ac:dyDescent="0.25">
      <c r="A189" s="510" t="s">
        <v>1565</v>
      </c>
      <c r="B189" s="515"/>
      <c r="C189" s="489" t="s">
        <v>496</v>
      </c>
      <c r="D189" s="508">
        <f>0.024*D186*'Расчет базового уровня'!$D$147*0.28</f>
        <v>2530.4294436424393</v>
      </c>
      <c r="E189" s="74"/>
      <c r="F189" s="74"/>
      <c r="G189" s="508">
        <f>0.024*$D$186*G$147*0.28</f>
        <v>444.02388332079801</v>
      </c>
      <c r="H189" s="508">
        <f t="shared" ref="H189:R189" si="13">0.024*$D$186*H$147*0.28</f>
        <v>375.25863734882245</v>
      </c>
      <c r="I189" s="508">
        <f t="shared" si="13"/>
        <v>316.73250360004249</v>
      </c>
      <c r="J189" s="508">
        <f t="shared" si="13"/>
        <v>104.10202787336401</v>
      </c>
      <c r="K189" s="508">
        <f t="shared" si="13"/>
        <v>57.205665548616366</v>
      </c>
      <c r="L189" s="508">
        <f t="shared" si="13"/>
        <v>0</v>
      </c>
      <c r="M189" s="508">
        <f t="shared" si="13"/>
        <v>0</v>
      </c>
      <c r="N189" s="508">
        <f t="shared" si="13"/>
        <v>0</v>
      </c>
      <c r="O189" s="508">
        <f t="shared" si="13"/>
        <v>0</v>
      </c>
      <c r="P189" s="508">
        <f t="shared" si="13"/>
        <v>252.8192105495983</v>
      </c>
      <c r="Q189" s="508">
        <f t="shared" si="13"/>
        <v>406.40589389753234</v>
      </c>
      <c r="R189" s="508">
        <f t="shared" si="13"/>
        <v>389.89784792671611</v>
      </c>
      <c r="S189" s="74"/>
      <c r="T189" s="74"/>
      <c r="U189" s="74"/>
      <c r="V189" s="74"/>
      <c r="W189" s="74"/>
      <c r="X189" s="74"/>
    </row>
    <row r="190" spans="1:26" x14ac:dyDescent="0.25">
      <c r="A190" s="510" t="s">
        <v>1564</v>
      </c>
      <c r="B190" s="515"/>
      <c r="C190" s="489" t="s">
        <v>496</v>
      </c>
      <c r="D190" s="508">
        <f>0.024*D187*'Расчет базового уровня'!$D$147*0.28</f>
        <v>3400.8143676575173</v>
      </c>
      <c r="E190" s="74"/>
      <c r="F190" s="74"/>
      <c r="G190" s="508">
        <f>0.024*$D$187*G$147*0.28</f>
        <v>596.7535691518101</v>
      </c>
      <c r="H190" s="508">
        <f t="shared" ref="H190:R190" si="14">0.024*$D$187*H$147*0.28</f>
        <v>504.33532880744781</v>
      </c>
      <c r="I190" s="508">
        <f t="shared" si="14"/>
        <v>425.67812023110741</v>
      </c>
      <c r="J190" s="508">
        <f t="shared" si="14"/>
        <v>139.90971887538856</v>
      </c>
      <c r="K190" s="508">
        <f t="shared" si="14"/>
        <v>76.882542525708658</v>
      </c>
      <c r="L190" s="508">
        <f t="shared" si="14"/>
        <v>0</v>
      </c>
      <c r="M190" s="508">
        <f t="shared" si="14"/>
        <v>0</v>
      </c>
      <c r="N190" s="508">
        <f t="shared" si="14"/>
        <v>0</v>
      </c>
      <c r="O190" s="508">
        <f t="shared" si="14"/>
        <v>0</v>
      </c>
      <c r="P190" s="508">
        <f t="shared" si="14"/>
        <v>339.78074584022943</v>
      </c>
      <c r="Q190" s="508">
        <f t="shared" si="14"/>
        <v>546.19622236055613</v>
      </c>
      <c r="R190" s="508">
        <f t="shared" si="14"/>
        <v>524.00994877740879</v>
      </c>
      <c r="S190" s="74"/>
      <c r="T190" s="74"/>
      <c r="U190" s="74"/>
      <c r="V190" s="74"/>
      <c r="W190" s="74"/>
      <c r="X190" s="74"/>
    </row>
    <row r="191" spans="1:26"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40625" defaultRowHeight="15" x14ac:dyDescent="0.25"/>
  <cols>
    <col min="1" max="1" width="47" style="75" customWidth="1"/>
    <col min="2" max="2" width="9.140625" style="75"/>
    <col min="3" max="3" width="44" style="75" customWidth="1"/>
    <col min="4" max="16384" width="9.140625" style="75"/>
  </cols>
  <sheetData>
    <row r="1" spans="1:11" x14ac:dyDescent="0.25">
      <c r="C1" s="75">
        <v>1</v>
      </c>
      <c r="D1" s="75">
        <v>2</v>
      </c>
      <c r="E1" s="75">
        <v>3</v>
      </c>
      <c r="F1" s="75">
        <v>4</v>
      </c>
      <c r="G1" s="74"/>
      <c r="H1" s="74"/>
      <c r="I1" s="74"/>
      <c r="J1" s="74"/>
      <c r="K1" s="74"/>
    </row>
    <row r="2" spans="1:11" s="240" customFormat="1" ht="135" x14ac:dyDescent="0.25">
      <c r="A2" s="284" t="s">
        <v>901</v>
      </c>
      <c r="B2" s="284" t="s">
        <v>1302</v>
      </c>
      <c r="C2" s="284" t="s">
        <v>1380</v>
      </c>
      <c r="D2" s="284" t="s">
        <v>1303</v>
      </c>
      <c r="E2" s="284" t="s">
        <v>1623</v>
      </c>
      <c r="F2" s="284" t="s">
        <v>1622</v>
      </c>
      <c r="G2" s="74"/>
      <c r="H2" s="74"/>
      <c r="I2" s="74"/>
      <c r="J2" s="74"/>
      <c r="K2" s="74"/>
    </row>
    <row r="3" spans="1:11" x14ac:dyDescent="0.25">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25">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25">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25">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25">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25">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25">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25">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25">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25">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25">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25">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25">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25">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25">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25">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25">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25">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25">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25">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25">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25">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25">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25">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25">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25">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25">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25">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25">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25">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25">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25">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25">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25">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25">
      <c r="A37" s="74"/>
      <c r="B37" s="74"/>
      <c r="C37" s="74"/>
      <c r="D37" s="74"/>
      <c r="E37" s="74"/>
      <c r="F37" s="74"/>
      <c r="G37" s="74"/>
      <c r="H37" s="74"/>
      <c r="I37" s="74"/>
      <c r="J37" s="74"/>
      <c r="K37" s="74"/>
    </row>
    <row r="38" spans="1:11" x14ac:dyDescent="0.25">
      <c r="A38" s="74"/>
      <c r="B38" s="74"/>
      <c r="C38" s="74"/>
      <c r="D38" s="74"/>
      <c r="E38" s="74"/>
      <c r="F38" s="74"/>
      <c r="G38" s="74"/>
      <c r="H38" s="74"/>
      <c r="I38" s="74"/>
      <c r="J38" s="74"/>
      <c r="K38" s="74"/>
    </row>
    <row r="39" spans="1:11" x14ac:dyDescent="0.25">
      <c r="A39" s="95" t="s">
        <v>864</v>
      </c>
      <c r="B39" s="95" t="s">
        <v>1305</v>
      </c>
      <c r="C39" s="74"/>
      <c r="D39" s="74"/>
      <c r="E39" s="74"/>
      <c r="F39" s="74"/>
      <c r="G39" s="74"/>
      <c r="H39" s="74"/>
      <c r="I39" s="74"/>
      <c r="J39" s="74"/>
      <c r="K39" s="74"/>
    </row>
    <row r="40" spans="1:11" x14ac:dyDescent="0.25">
      <c r="A40" s="95" t="s">
        <v>1258</v>
      </c>
      <c r="B40" s="95">
        <v>0.55000000000000004</v>
      </c>
      <c r="C40" s="74"/>
      <c r="D40" s="74"/>
      <c r="E40" s="74"/>
      <c r="F40" s="74"/>
      <c r="G40" s="74"/>
      <c r="H40" s="74"/>
      <c r="I40" s="74"/>
      <c r="J40" s="74"/>
      <c r="K40" s="74"/>
    </row>
    <row r="41" spans="1:11" x14ac:dyDescent="0.25">
      <c r="A41" s="95" t="s">
        <v>1259</v>
      </c>
      <c r="B41" s="95">
        <v>0.54</v>
      </c>
      <c r="C41" s="74"/>
      <c r="D41" s="74"/>
      <c r="E41" s="74"/>
      <c r="F41" s="74"/>
      <c r="G41" s="74"/>
      <c r="H41" s="74"/>
      <c r="I41" s="74"/>
      <c r="J41" s="74"/>
      <c r="K41" s="74"/>
    </row>
    <row r="42" spans="1:11" x14ac:dyDescent="0.25">
      <c r="A42" s="95" t="s">
        <v>1260</v>
      </c>
      <c r="B42" s="95">
        <v>0.68</v>
      </c>
      <c r="C42" s="74"/>
      <c r="D42" s="74"/>
      <c r="E42" s="74"/>
      <c r="F42" s="74"/>
      <c r="G42" s="74"/>
      <c r="H42" s="74"/>
      <c r="I42" s="74"/>
      <c r="J42" s="74"/>
      <c r="K42" s="74"/>
    </row>
    <row r="43" spans="1:11" x14ac:dyDescent="0.25">
      <c r="A43" s="95" t="s">
        <v>1264</v>
      </c>
      <c r="B43" s="95">
        <v>0.56000000000000005</v>
      </c>
      <c r="C43" s="74"/>
      <c r="D43" s="74"/>
      <c r="E43" s="74"/>
      <c r="F43" s="74"/>
      <c r="G43" s="74"/>
      <c r="H43" s="74"/>
      <c r="I43" s="74"/>
      <c r="J43" s="74"/>
      <c r="K43" s="74"/>
    </row>
    <row r="44" spans="1:11" x14ac:dyDescent="0.25">
      <c r="A44" s="95" t="s">
        <v>1265</v>
      </c>
      <c r="B44" s="95">
        <v>0.72</v>
      </c>
      <c r="C44" s="74"/>
      <c r="D44" s="74"/>
      <c r="E44" s="74"/>
      <c r="F44" s="74"/>
      <c r="G44" s="74"/>
      <c r="H44" s="74"/>
      <c r="I44" s="74"/>
      <c r="J44" s="74"/>
      <c r="K44" s="74"/>
    </row>
    <row r="45" spans="1:11" x14ac:dyDescent="0.25">
      <c r="A45" s="95" t="s">
        <v>1261</v>
      </c>
      <c r="B45" s="95">
        <v>0.7</v>
      </c>
      <c r="C45" s="74"/>
      <c r="D45" s="74"/>
      <c r="E45" s="74"/>
      <c r="F45" s="74"/>
      <c r="G45" s="74"/>
      <c r="H45" s="74"/>
      <c r="I45" s="74"/>
      <c r="J45" s="74"/>
      <c r="K45" s="74"/>
    </row>
    <row r="46" spans="1:11" x14ac:dyDescent="0.25">
      <c r="A46" s="95" t="s">
        <v>1262</v>
      </c>
      <c r="B46" s="95">
        <v>0.74</v>
      </c>
      <c r="C46" s="74"/>
      <c r="D46" s="74"/>
      <c r="E46" s="74"/>
      <c r="F46" s="74"/>
      <c r="G46" s="74"/>
      <c r="H46" s="74"/>
      <c r="I46" s="74"/>
      <c r="J46" s="74"/>
      <c r="K46" s="74"/>
    </row>
    <row r="47" spans="1:11" x14ac:dyDescent="0.25">
      <c r="A47" s="95" t="s">
        <v>1263</v>
      </c>
      <c r="B47" s="95">
        <v>0.8</v>
      </c>
      <c r="C47" s="74"/>
      <c r="D47" s="74"/>
      <c r="E47" s="74"/>
      <c r="F47" s="74"/>
      <c r="G47" s="74"/>
      <c r="H47" s="74"/>
      <c r="I47" s="74"/>
      <c r="J47" s="74"/>
      <c r="K47" s="74"/>
    </row>
    <row r="48" spans="1:11" x14ac:dyDescent="0.25">
      <c r="A48" s="74"/>
      <c r="B48" s="74"/>
      <c r="C48" s="74"/>
      <c r="D48" s="74"/>
      <c r="E48" s="74"/>
      <c r="F48" s="74"/>
      <c r="G48" s="74"/>
      <c r="H48" s="74"/>
      <c r="I48" s="74"/>
      <c r="J48" s="74"/>
      <c r="K48" s="74"/>
    </row>
    <row r="49" spans="1:11" x14ac:dyDescent="0.25">
      <c r="A49" s="95"/>
      <c r="B49" s="95"/>
      <c r="C49" s="95" t="s">
        <v>1620</v>
      </c>
      <c r="D49" s="95" t="s">
        <v>1621</v>
      </c>
      <c r="E49" s="74"/>
      <c r="F49" s="74"/>
      <c r="G49" s="74"/>
      <c r="H49" s="74"/>
      <c r="I49" s="74"/>
      <c r="J49" s="74"/>
      <c r="K49" s="74"/>
    </row>
    <row r="50" spans="1:11" x14ac:dyDescent="0.25">
      <c r="A50" s="95" t="s">
        <v>1541</v>
      </c>
      <c r="B50" s="95" t="s">
        <v>1311</v>
      </c>
      <c r="C50" s="95">
        <v>6000</v>
      </c>
      <c r="D50" s="95">
        <v>5000</v>
      </c>
      <c r="E50" s="74"/>
      <c r="F50" s="74"/>
      <c r="G50" s="74"/>
      <c r="H50" s="74"/>
      <c r="I50" s="74"/>
      <c r="J50" s="74"/>
      <c r="K50" s="74"/>
    </row>
    <row r="51" spans="1:11" x14ac:dyDescent="0.25">
      <c r="A51" s="95" t="s">
        <v>1542</v>
      </c>
      <c r="B51" s="95" t="s">
        <v>1543</v>
      </c>
      <c r="C51" s="95">
        <v>3800</v>
      </c>
      <c r="D51" s="95"/>
      <c r="E51" s="74"/>
      <c r="F51" s="74"/>
      <c r="G51" s="74"/>
      <c r="H51" s="74"/>
      <c r="I51" s="74"/>
      <c r="J51" s="74"/>
      <c r="K51" s="74"/>
    </row>
    <row r="52" spans="1:11" x14ac:dyDescent="0.25">
      <c r="A52" s="95" t="s">
        <v>1544</v>
      </c>
      <c r="B52" s="95" t="s">
        <v>858</v>
      </c>
      <c r="C52" s="95">
        <f>IF('Система электроснабжения'!D34*0.86&lt;200,700000,900000)</f>
        <v>700000</v>
      </c>
      <c r="D52" s="95">
        <f>C52*0.2+100000</f>
        <v>240000</v>
      </c>
      <c r="E52" s="74"/>
      <c r="F52" s="74"/>
      <c r="G52" s="74"/>
      <c r="H52" s="74"/>
      <c r="I52" s="74"/>
      <c r="J52" s="74"/>
      <c r="K52" s="74"/>
    </row>
    <row r="53" spans="1:11" x14ac:dyDescent="0.25">
      <c r="A53" s="95" t="s">
        <v>801</v>
      </c>
      <c r="B53" s="95" t="s">
        <v>858</v>
      </c>
      <c r="C53" s="286">
        <f>2349*('Система электроснабжения'!D34+'Расчет базового уровня'!E172)+1151900</f>
        <v>2035935.6816782898</v>
      </c>
      <c r="D53" s="286">
        <f>C53*0.2+100000</f>
        <v>507187.13633565797</v>
      </c>
      <c r="E53" s="74"/>
      <c r="F53" s="74"/>
      <c r="G53" s="74"/>
      <c r="H53" s="74"/>
      <c r="I53" s="74"/>
      <c r="J53" s="74"/>
      <c r="K53" s="74"/>
    </row>
    <row r="54" spans="1:11" x14ac:dyDescent="0.25">
      <c r="A54" s="95" t="s">
        <v>1615</v>
      </c>
      <c r="B54" s="95" t="s">
        <v>858</v>
      </c>
      <c r="C54" s="286">
        <f>531500+285*'Расчет базового уровня'!E172</f>
        <v>580651.30762945546</v>
      </c>
      <c r="D54" s="95">
        <f>C54*0.2+100000</f>
        <v>216130.26152589108</v>
      </c>
      <c r="E54" s="74"/>
      <c r="F54" s="74"/>
      <c r="G54" s="74"/>
      <c r="H54" s="74"/>
      <c r="I54" s="74"/>
      <c r="J54" s="74"/>
      <c r="K54" s="74"/>
    </row>
    <row r="55" spans="1:11" x14ac:dyDescent="0.25">
      <c r="A55" s="95" t="s">
        <v>1619</v>
      </c>
      <c r="B55" s="95" t="s">
        <v>858</v>
      </c>
      <c r="C55" s="286">
        <f>150121*'Расчет базового уровня'!E173+23232</f>
        <v>45497.380243058506</v>
      </c>
      <c r="D55" s="95"/>
      <c r="E55" s="74"/>
      <c r="F55" s="74"/>
      <c r="G55" s="74"/>
      <c r="H55" s="74"/>
      <c r="I55" s="74"/>
      <c r="J55" s="74"/>
      <c r="K55" s="74"/>
    </row>
    <row r="56" spans="1:11" x14ac:dyDescent="0.25">
      <c r="A56" s="95" t="s">
        <v>1547</v>
      </c>
      <c r="B56" s="95" t="s">
        <v>493</v>
      </c>
      <c r="C56" s="95">
        <v>400</v>
      </c>
      <c r="D56" s="95"/>
      <c r="E56" s="74"/>
      <c r="F56" s="74"/>
      <c r="G56" s="74"/>
      <c r="H56" s="74"/>
      <c r="I56" s="74"/>
      <c r="J56" s="74"/>
      <c r="K56" s="74"/>
    </row>
    <row r="57" spans="1:11" x14ac:dyDescent="0.25">
      <c r="A57" s="95" t="s">
        <v>1548</v>
      </c>
      <c r="B57" s="95" t="s">
        <v>493</v>
      </c>
      <c r="C57" s="95">
        <f>285+91</f>
        <v>376</v>
      </c>
      <c r="D57" s="95"/>
      <c r="E57" s="74"/>
      <c r="F57" s="74"/>
      <c r="G57" s="74"/>
      <c r="H57" s="74"/>
      <c r="I57" s="74"/>
      <c r="J57" s="74"/>
      <c r="K57" s="74"/>
    </row>
    <row r="58" spans="1:11" x14ac:dyDescent="0.25">
      <c r="A58" s="95" t="s">
        <v>1611</v>
      </c>
      <c r="B58" s="95" t="s">
        <v>1311</v>
      </c>
      <c r="C58" s="95">
        <v>650000</v>
      </c>
      <c r="D58" s="95">
        <v>600000</v>
      </c>
      <c r="E58" s="74"/>
      <c r="F58" s="74"/>
      <c r="G58" s="74"/>
      <c r="H58" s="74"/>
      <c r="I58" s="74"/>
      <c r="J58" s="74"/>
      <c r="K58" s="74"/>
    </row>
    <row r="59" spans="1:11" x14ac:dyDescent="0.25">
      <c r="A59" s="95" t="s">
        <v>1545</v>
      </c>
      <c r="B59" s="95" t="s">
        <v>493</v>
      </c>
      <c r="C59" s="95">
        <v>90</v>
      </c>
      <c r="D59" s="95"/>
      <c r="E59" s="74"/>
      <c r="F59" s="74"/>
      <c r="G59" s="74"/>
      <c r="H59" s="74"/>
      <c r="I59" s="74"/>
      <c r="J59" s="74"/>
      <c r="K59" s="74"/>
    </row>
    <row r="60" spans="1:11" x14ac:dyDescent="0.25">
      <c r="A60" s="98" t="s">
        <v>1546</v>
      </c>
      <c r="B60" s="95" t="s">
        <v>1311</v>
      </c>
      <c r="C60" s="95">
        <v>150</v>
      </c>
      <c r="D60" s="95"/>
      <c r="E60" s="74"/>
      <c r="F60" s="74"/>
      <c r="G60" s="74"/>
      <c r="H60" s="74"/>
      <c r="I60" s="74"/>
      <c r="J60" s="74"/>
      <c r="K60" s="74"/>
    </row>
    <row r="61" spans="1:11" x14ac:dyDescent="0.25">
      <c r="A61" s="98" t="s">
        <v>1549</v>
      </c>
      <c r="B61" s="95" t="s">
        <v>1311</v>
      </c>
      <c r="C61" s="98">
        <v>500</v>
      </c>
      <c r="D61" s="95"/>
      <c r="E61" s="74"/>
      <c r="F61" s="74"/>
      <c r="G61" s="74"/>
      <c r="H61" s="74"/>
      <c r="I61" s="74"/>
      <c r="J61" s="74"/>
      <c r="K61" s="74"/>
    </row>
    <row r="62" spans="1:11" x14ac:dyDescent="0.25">
      <c r="A62" s="98" t="s">
        <v>1550</v>
      </c>
      <c r="B62" s="95" t="s">
        <v>1311</v>
      </c>
      <c r="C62" s="98">
        <v>36000</v>
      </c>
      <c r="D62" s="95"/>
      <c r="E62" s="74"/>
      <c r="F62" s="74"/>
      <c r="G62" s="74"/>
      <c r="H62" s="74"/>
      <c r="I62" s="74"/>
      <c r="J62" s="74"/>
      <c r="K62" s="74"/>
    </row>
    <row r="63" spans="1:11" x14ac:dyDescent="0.25">
      <c r="A63" s="98" t="s">
        <v>1613</v>
      </c>
      <c r="B63" s="95" t="s">
        <v>1614</v>
      </c>
      <c r="C63" s="98">
        <v>4000</v>
      </c>
      <c r="D63" s="95"/>
      <c r="E63" s="74"/>
      <c r="F63" s="74"/>
      <c r="G63" s="74"/>
      <c r="H63" s="74"/>
      <c r="I63" s="74"/>
      <c r="J63" s="74"/>
      <c r="K63" s="74"/>
    </row>
    <row r="64" spans="1:11" x14ac:dyDescent="0.25">
      <c r="A64" s="98" t="s">
        <v>1616</v>
      </c>
      <c r="B64" s="95" t="s">
        <v>1617</v>
      </c>
      <c r="C64" s="98">
        <v>400</v>
      </c>
      <c r="D64" s="95"/>
      <c r="E64" s="74" t="s">
        <v>1618</v>
      </c>
      <c r="F64" s="74"/>
      <c r="G64" s="74"/>
      <c r="H64" s="74"/>
      <c r="I64" s="74"/>
      <c r="J64" s="74"/>
      <c r="K64" s="74"/>
    </row>
    <row r="65" spans="1:11" x14ac:dyDescent="0.25">
      <c r="A65" s="98" t="s">
        <v>1551</v>
      </c>
      <c r="B65" s="95" t="s">
        <v>1311</v>
      </c>
      <c r="C65" s="287">
        <f>2000/18*0.5</f>
        <v>55.555555555555557</v>
      </c>
      <c r="D65" s="95"/>
      <c r="E65" s="74"/>
      <c r="F65" s="74"/>
      <c r="G65" s="74"/>
      <c r="H65" s="74"/>
      <c r="I65" s="74"/>
      <c r="J65" s="74"/>
      <c r="K65" s="74"/>
    </row>
    <row r="66" spans="1:11" x14ac:dyDescent="0.25">
      <c r="A66" s="74"/>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5546875" defaultRowHeight="15.75" customHeight="1" x14ac:dyDescent="0.25"/>
  <cols>
    <col min="1" max="1" width="8.85546875" style="1010"/>
    <col min="2" max="2" width="22.5703125" style="1010" customWidth="1"/>
    <col min="3" max="3" width="37.5703125" style="1010" customWidth="1"/>
    <col min="4" max="4" width="30.85546875" style="1010" customWidth="1"/>
    <col min="5" max="5" width="11.85546875" style="1010" customWidth="1"/>
    <col min="6" max="6" width="16.42578125" style="1010" customWidth="1"/>
    <col min="7" max="7" width="10.85546875" style="1010" customWidth="1"/>
    <col min="8" max="8" width="14.5703125" style="1010" customWidth="1"/>
    <col min="9" max="9" width="10" style="1010" customWidth="1"/>
    <col min="10" max="10" width="13.85546875" style="1010" customWidth="1"/>
    <col min="11" max="11" width="11.42578125" style="1011" customWidth="1"/>
    <col min="12" max="12" width="2.28515625" style="1011" customWidth="1"/>
    <col min="13" max="13" width="7" style="1011" customWidth="1"/>
    <col min="14" max="14" width="7.28515625" style="1011" customWidth="1"/>
    <col min="15" max="15" width="9.28515625" style="1012" customWidth="1"/>
    <col min="16" max="16" width="2" style="1012" customWidth="1"/>
    <col min="17" max="17" width="6" style="1012" customWidth="1"/>
    <col min="18" max="18" width="8.42578125" style="1012" customWidth="1"/>
    <col min="19" max="19" width="9.140625" style="1013" customWidth="1"/>
    <col min="20" max="20" width="3" style="1013" customWidth="1"/>
    <col min="21" max="21" width="7.5703125" style="1013" customWidth="1"/>
    <col min="22" max="22" width="8.42578125" style="1013" customWidth="1"/>
    <col min="23" max="23" width="10.42578125" style="1014" customWidth="1"/>
    <col min="24" max="24" width="2.42578125" style="1014" customWidth="1"/>
    <col min="25" max="26" width="8.42578125" style="1014" customWidth="1"/>
    <col min="27" max="27" width="9.7109375" style="1015" customWidth="1"/>
    <col min="28" max="28" width="2.42578125" style="1015" customWidth="1"/>
    <col min="29" max="29" width="6" style="1015" customWidth="1"/>
    <col min="30" max="30" width="8.42578125" style="1015" customWidth="1"/>
    <col min="31" max="31" width="9" style="1016" customWidth="1"/>
    <col min="32" max="32" width="3.7109375" style="1016" customWidth="1"/>
    <col min="33" max="33" width="7.5703125" style="1016" customWidth="1"/>
    <col min="34" max="34" width="8.42578125" style="1016" customWidth="1"/>
    <col min="35" max="35" width="9.28515625" style="1017" customWidth="1"/>
    <col min="36" max="36" width="2" style="1017" customWidth="1"/>
    <col min="37" max="37" width="8.140625" style="1017" customWidth="1"/>
    <col min="38" max="38" width="8.42578125" style="1017" customWidth="1"/>
    <col min="39" max="39" width="10.28515625" style="1018" customWidth="1"/>
    <col min="40" max="40" width="2.28515625" style="1018" customWidth="1"/>
    <col min="41" max="41" width="6.140625" style="1018" customWidth="1"/>
    <col min="42" max="42" width="8.42578125" style="1018" customWidth="1"/>
    <col min="43" max="43" width="9.28515625" style="1013" customWidth="1"/>
    <col min="44" max="44" width="2.42578125" style="1013" customWidth="1"/>
    <col min="45" max="46" width="8.42578125" style="1013" customWidth="1"/>
    <col min="47" max="47" width="9.28515625" style="1019" customWidth="1"/>
    <col min="48" max="48" width="3" style="1019" customWidth="1"/>
    <col min="49" max="49" width="7.5703125" style="1019" customWidth="1"/>
    <col min="50" max="50" width="7.28515625" style="1019" customWidth="1"/>
    <col min="51" max="51" width="10" style="1020" customWidth="1"/>
    <col min="52" max="52" width="3.140625" style="1020" customWidth="1"/>
    <col min="53" max="54" width="8.42578125" style="1020" customWidth="1"/>
    <col min="55" max="55" width="9" style="1021" customWidth="1"/>
    <col min="56" max="56" width="3.85546875" style="1021" customWidth="1"/>
    <col min="57" max="57" width="7.5703125" style="1021" customWidth="1"/>
    <col min="58" max="58" width="8.42578125" style="1021" customWidth="1"/>
    <col min="59" max="60" width="14.42578125" style="1010" customWidth="1"/>
    <col min="61" max="61" width="1.85546875" style="1010" customWidth="1"/>
    <col min="62" max="16384" width="8.85546875" style="1010"/>
  </cols>
  <sheetData>
    <row r="1" spans="1:58" s="75" customFormat="1" ht="15.75" customHeight="1" x14ac:dyDescent="0.45">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25">
      <c r="B2" s="1007" t="s">
        <v>463</v>
      </c>
      <c r="C2" s="1008" t="str">
        <f>VLOOKUP(CONCATENATE('Ввод исходных данных'!$D$10,'Ввод исходных данных'!$D$11),Климатология!$D$9:$BF$548,$J$7,0)</f>
        <v>5000-6000</v>
      </c>
      <c r="D2" s="1009"/>
      <c r="E2" s="75">
        <f>VLOOKUP(CONCATENATE('Ввод исходных данных'!$D$10,'Ввод исходных данных'!$D$11),Климатология!$D$9:$BF$548,E7,0)</f>
        <v>221</v>
      </c>
      <c r="F2" s="75">
        <f>VLOOKUP(CONCATENATE('Ввод исходных данных'!$D$10,'Ввод исходных данных'!$D$11),Климатология!$D$9:$BF$548,F7,0)</f>
        <v>-8.1</v>
      </c>
      <c r="G2" s="75">
        <f>VLOOKUP(CONCATENATE('Ввод исходных данных'!$D$10,'Ввод исходных данных'!$D$11),Климатология!$D$9:$BF$548,G7,0)</f>
        <v>-37</v>
      </c>
      <c r="H2" s="75">
        <f>VLOOKUP(CONCATENATE('Ввод исходных данных'!$D$10,'Ввод исходных данных'!$D$11),Климатология!$D$9:$BF$548,H7,0)</f>
        <v>4.7</v>
      </c>
      <c r="I2" s="75">
        <f>VLOOKUP(CONCATENATE('Ввод исходных данных'!$D$10,'Ввод исходных данных'!$D$11),Климатология!$D$9:$BF$548,I7,0)</f>
        <v>5768.1</v>
      </c>
      <c r="J2" s="75" t="str">
        <f>VLOOKUP(CONCATENATE('Ввод исходных данных'!$D$10,'Ввод исходных данных'!$D$11),Климатология!$D$9:$BF$548,J7,0)</f>
        <v>5000-6000</v>
      </c>
      <c r="K2" s="75">
        <f>VLOOKUP(CONCATENATE('Ввод исходных данных'!$D$10,'Ввод исходных данных'!$D$11),Климатология!$D$9:$BF$548,K7,0)</f>
        <v>19.399999999999999</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16.2</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10.199999999999999</v>
      </c>
      <c r="U2" s="75">
        <f>VLOOKUP(CONCATENATE('Ввод исходных данных'!$D$10,'Ввод исходных данных'!$D$11),Климатология!$D$9:$BF$548,U7,0)</f>
        <v>4.5</v>
      </c>
      <c r="V2" s="75">
        <f>VLOOKUP(CONCATENATE('Ввод исходных данных'!$D$10,'Ввод исходных данных'!$D$11),Климатология!$D$9:$BF$548,V7,0)</f>
        <v>35.1</v>
      </c>
      <c r="W2" s="75">
        <f>VLOOKUP(CONCATENATE('Ввод исходных данных'!$D$10,'Ввод исходных данных'!$D$11),Климатология!$D$9:$BF$548,W7,0)</f>
        <v>2.5</v>
      </c>
      <c r="Y2" s="75">
        <f>VLOOKUP(CONCATENATE('Ввод исходных данных'!$D$10,'Ввод исходных данных'!$D$11),Климатология!$D$9:$BF$548,Y7,0)</f>
        <v>31</v>
      </c>
      <c r="Z2" s="75">
        <f>VLOOKUP(CONCATENATE('Ввод исходных данных'!$D$10,'Ввод исходных данных'!$D$11),Климатология!$D$9:$BF$548,Z7,0)</f>
        <v>480.5</v>
      </c>
      <c r="AA2" s="75">
        <f>VLOOKUP(CONCATENATE('Ввод исходных данных'!$D$10,'Ввод исходных данных'!$D$11),Климатология!$D$9:$BF$548,AA7,0)</f>
        <v>-7.4</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762</v>
      </c>
      <c r="AE2" s="75">
        <f>VLOOKUP(CONCATENATE('Ввод исходных данных'!$D$10,'Ввод исходных данных'!$D$11),Климатология!$D$9:$BF$548,AE7,0)</f>
        <v>-14.5</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1007.5</v>
      </c>
      <c r="AI2" s="75">
        <f>VLOOKUP(CONCATENATE('Ввод исходных данных'!$D$10,'Ввод исходных данных'!$D$11),Климатология!$D$9:$BF$548,AI7,0)</f>
        <v>-17.3</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1094.3</v>
      </c>
      <c r="AM2" s="75">
        <f>VLOOKUP(CONCATENATE('Ввод исходных данных'!$D$10,'Ввод исходных данных'!$D$11),Климатология!$D$9:$BF$548,AM7,0)</f>
        <v>-15.7</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943.60000000000014</v>
      </c>
      <c r="AQ2" s="75">
        <f>VLOOKUP(CONCATENATE('Ввод исходных данных'!$D$10,'Ввод исходных данных'!$D$11),Климатология!$D$9:$BF$548,AQ7,0)</f>
        <v>-8.4</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818.4</v>
      </c>
      <c r="AU2" s="75">
        <f>VLOOKUP(CONCATENATE('Ввод исходных данных'!$D$10,'Ввод исходных данных'!$D$11),Климатология!$D$9:$BF$548,AU7,0)</f>
        <v>2.2000000000000002</v>
      </c>
      <c r="AW2" s="75">
        <f>VLOOKUP(CONCATENATE('Ввод исходных данных'!$D$10,'Ввод исходных данных'!$D$11),Климатология!$D$9:$BF$548,AW7,0)</f>
        <v>30</v>
      </c>
      <c r="AX2" s="75">
        <f>VLOOKUP(CONCATENATE('Ввод исходных данных'!$D$10,'Ввод исходных данных'!$D$11),Климатология!$D$9:$BF$548,AX7,0)</f>
        <v>474</v>
      </c>
      <c r="AY2" s="75">
        <f>VLOOKUP(CONCATENATE('Ввод исходных данных'!$D$10,'Ввод исходных данных'!$D$11),Климатология!$D$9:$BF$548,AY7,0)</f>
        <v>11.1</v>
      </c>
      <c r="BA2" s="75">
        <f>VLOOKUP(CONCATENATE('Ввод исходных данных'!$D$10,'Ввод исходных данных'!$D$11),Климатология!$D$9:$BF$548,BA7,0)</f>
        <v>4.5</v>
      </c>
      <c r="BB2" s="75">
        <f>VLOOKUP(CONCATENATE('Ввод исходных данных'!$D$10,'Ввод исходных данных'!$D$11),Климатология!$D$9:$BF$548,BB7,0)</f>
        <v>31.05</v>
      </c>
      <c r="BC2" s="75">
        <f>VLOOKUP(CONCATENATE('Ввод исходных данных'!$D$10,'Ввод исходных данных'!$D$11),Климатология!$D$9:$BF$548,BC7,0)</f>
        <v>17</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25">
      <c r="C3" s="1010" t="str">
        <f>CONCATENATE('Ввод исходных данных'!$D$10,'Ввод исходных данных'!$D$11)</f>
        <v>Новосибирская областьНовосибирск</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25">
      <c r="A6" s="74"/>
      <c r="B6" s="74"/>
      <c r="C6" s="74"/>
      <c r="D6" s="74"/>
      <c r="E6" s="74"/>
      <c r="F6" s="74"/>
      <c r="G6" s="74"/>
      <c r="H6" s="74"/>
      <c r="I6" s="74"/>
      <c r="J6" s="74"/>
      <c r="K6" s="1830" t="s">
        <v>720</v>
      </c>
      <c r="L6" s="1830"/>
      <c r="M6" s="1830"/>
      <c r="N6" s="1830"/>
      <c r="O6" s="1831" t="s">
        <v>721</v>
      </c>
      <c r="P6" s="1831"/>
      <c r="Q6" s="1831"/>
      <c r="R6" s="1831"/>
      <c r="S6" s="1832" t="s">
        <v>722</v>
      </c>
      <c r="T6" s="1832"/>
      <c r="U6" s="1832"/>
      <c r="V6" s="1832"/>
      <c r="W6" s="1836" t="s">
        <v>482</v>
      </c>
      <c r="X6" s="1836"/>
      <c r="Y6" s="1836"/>
      <c r="Z6" s="1836"/>
      <c r="AA6" s="1837" t="s">
        <v>486</v>
      </c>
      <c r="AB6" s="1837"/>
      <c r="AC6" s="1837"/>
      <c r="AD6" s="1837"/>
      <c r="AE6" s="1838" t="s">
        <v>487</v>
      </c>
      <c r="AF6" s="1838"/>
      <c r="AG6" s="1838"/>
      <c r="AH6" s="1838"/>
      <c r="AI6" s="1839" t="s">
        <v>488</v>
      </c>
      <c r="AJ6" s="1839"/>
      <c r="AK6" s="1839"/>
      <c r="AL6" s="1839"/>
      <c r="AM6" s="1840" t="s">
        <v>489</v>
      </c>
      <c r="AN6" s="1840"/>
      <c r="AO6" s="1840"/>
      <c r="AP6" s="1840"/>
      <c r="AQ6" s="1832" t="s">
        <v>490</v>
      </c>
      <c r="AR6" s="1832"/>
      <c r="AS6" s="1832"/>
      <c r="AT6" s="1832"/>
      <c r="AU6" s="1835" t="s">
        <v>491</v>
      </c>
      <c r="AV6" s="1835"/>
      <c r="AW6" s="1835"/>
      <c r="AX6" s="1835"/>
      <c r="AY6" s="1833" t="s">
        <v>724</v>
      </c>
      <c r="AZ6" s="1833"/>
      <c r="BA6" s="1833"/>
      <c r="BB6" s="1833"/>
      <c r="BC6" s="1834" t="s">
        <v>725</v>
      </c>
      <c r="BD6" s="1834"/>
      <c r="BE6" s="1834"/>
      <c r="BF6" s="1834"/>
    </row>
    <row r="7" spans="1:58" ht="15.75" customHeight="1" x14ac:dyDescent="0.25">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25">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25">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5572.8</v>
      </c>
      <c r="J9" s="1059" t="str">
        <f t="shared" ref="J9:J72" si="1">CONCATENATE(ROUNDDOWN(I9/1000,0)*1000,"-",ROUNDUP(I9/1000,0)*1000)</f>
        <v>5000-6000</v>
      </c>
      <c r="K9" s="1060">
        <v>20.3</v>
      </c>
      <c r="L9" s="1060"/>
      <c r="M9" s="1061">
        <f>MAX(0,E9-Q9-U9-Y9-AC9-AG9-AK9-AO9-AS9-AW9-BA9-BE9)</f>
        <v>2</v>
      </c>
      <c r="N9" s="1062">
        <f>M9*('Ввод исходных данных'!$D$83-K9)</f>
        <v>-4.6000000000000014</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458.8</v>
      </c>
      <c r="AA9" s="1066">
        <v>-7.5</v>
      </c>
      <c r="AB9" s="1066"/>
      <c r="AC9" s="1066">
        <f>IF((E9-90)/2&gt;30,30,(E9-90)/2)</f>
        <v>30</v>
      </c>
      <c r="AD9" s="1066">
        <f>AC9*('Ввод исходных данных'!$D$83-AA9)</f>
        <v>765</v>
      </c>
      <c r="AE9" s="1067">
        <v>-15.1</v>
      </c>
      <c r="AF9" s="1067"/>
      <c r="AG9" s="1067">
        <v>31</v>
      </c>
      <c r="AH9" s="1067">
        <f>AG9*('Ввод исходных данных'!$D$83-AE9)</f>
        <v>1026.1000000000001</v>
      </c>
      <c r="AI9" s="1068">
        <v>-17.600000000000001</v>
      </c>
      <c r="AJ9" s="1068"/>
      <c r="AK9" s="1068">
        <v>31</v>
      </c>
      <c r="AL9" s="1068">
        <f>AK9*('Ввод исходных данных'!$D$83-AI9)</f>
        <v>1103.6000000000001</v>
      </c>
      <c r="AM9" s="1069">
        <v>-16.3</v>
      </c>
      <c r="AN9" s="1069"/>
      <c r="AO9" s="1069">
        <v>28</v>
      </c>
      <c r="AP9" s="1069">
        <f>AO9*('Ввод исходных данных'!$D$83-AM9)</f>
        <v>960.39999999999986</v>
      </c>
      <c r="AQ9" s="1064">
        <v>-8.6999999999999993</v>
      </c>
      <c r="AR9" s="1064"/>
      <c r="AS9" s="1064">
        <f>IF((E9-90)/2&gt;31,31,(E9-90)/2)</f>
        <v>31</v>
      </c>
      <c r="AT9" s="1064">
        <f>AS9*('Ввод исходных данных'!$D$83-AQ9)</f>
        <v>827.69999999999993</v>
      </c>
      <c r="AU9" s="1070">
        <v>3.3</v>
      </c>
      <c r="AV9" s="1070"/>
      <c r="AW9" s="1070">
        <f>IF((E9-151)&gt;0,IF((E9-151)/2&gt;30,30,(E9-151)/2),0)</f>
        <v>30</v>
      </c>
      <c r="AX9" s="1070">
        <f>AW9*('Ввод исходных данных'!$D$83-AU9)</f>
        <v>441</v>
      </c>
      <c r="AY9" s="1071">
        <v>12.2</v>
      </c>
      <c r="AZ9" s="1071"/>
      <c r="BA9" s="1071">
        <f>IF((E9-212)&gt;0,IF((E9-212)/2&gt;31,31,(E9-212)/2),0)</f>
        <v>2</v>
      </c>
      <c r="BB9" s="1071">
        <f>BA9*('Ввод исходных данных'!$D$83-AY9)</f>
        <v>11.600000000000001</v>
      </c>
      <c r="BC9" s="1072">
        <v>18.399999999999999</v>
      </c>
      <c r="BD9" s="1072"/>
      <c r="BE9" s="1072">
        <f>IF((E9-273)&gt;0,IF((E9-273)/2&gt;30,30,(E9-273)/2),0)</f>
        <v>0</v>
      </c>
      <c r="BF9" s="1073">
        <f>BE9*('Ввод исходных данных'!$D$83-BC9)</f>
        <v>0</v>
      </c>
    </row>
    <row r="10" spans="1:58" ht="15.75" customHeight="1" x14ac:dyDescent="0.25">
      <c r="B10" s="1074" t="s">
        <v>0</v>
      </c>
      <c r="C10" s="1075" t="s">
        <v>3</v>
      </c>
      <c r="D10" s="1053" t="str">
        <f t="shared" si="0"/>
        <v>Алтайский крайБарнаул</v>
      </c>
      <c r="E10" s="1054">
        <v>213</v>
      </c>
      <c r="F10" s="1055">
        <v>-7.5</v>
      </c>
      <c r="G10" s="1055">
        <v>-36</v>
      </c>
      <c r="H10" s="1057">
        <v>4</v>
      </c>
      <c r="I10" s="1058">
        <f>E10*('Ввод исходных данных'!$D$83-F10)</f>
        <v>5431.5</v>
      </c>
      <c r="J10" s="1059" t="str">
        <f t="shared" si="1"/>
        <v>5000-6000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3.55</v>
      </c>
      <c r="W10" s="1065">
        <v>3.3</v>
      </c>
      <c r="X10" s="1065"/>
      <c r="Y10" s="1065">
        <f>IF((E10-151)&gt;0,IF((E10-151)/2&gt;31,31,(E10-151)/2),0)</f>
        <v>31</v>
      </c>
      <c r="Z10" s="1065">
        <f>Y10*('Ввод исходных данных'!$D$83-W10)</f>
        <v>455.7</v>
      </c>
      <c r="AA10" s="1066">
        <v>-6.5</v>
      </c>
      <c r="AB10" s="1066"/>
      <c r="AC10" s="1066">
        <f>IF((E10-90)/2&gt;30,30,(E10-90)/2)</f>
        <v>30</v>
      </c>
      <c r="AD10" s="1066">
        <f>AC10*('Ввод исходных данных'!$D$83-AA10)</f>
        <v>735</v>
      </c>
      <c r="AE10" s="1067">
        <v>-13.5</v>
      </c>
      <c r="AF10" s="1067"/>
      <c r="AG10" s="1067">
        <v>31</v>
      </c>
      <c r="AH10" s="1067">
        <f>AG10*('Ввод исходных данных'!$D$83-AE10)</f>
        <v>976.5</v>
      </c>
      <c r="AI10" s="1068">
        <v>-16.3</v>
      </c>
      <c r="AJ10" s="1068"/>
      <c r="AK10" s="1068">
        <v>31</v>
      </c>
      <c r="AL10" s="1068">
        <f>AK10*('Ввод исходных данных'!$D$83-AI10)</f>
        <v>1063.3</v>
      </c>
      <c r="AM10" s="1069">
        <v>-14.4</v>
      </c>
      <c r="AN10" s="1069"/>
      <c r="AO10" s="1069">
        <v>28</v>
      </c>
      <c r="AP10" s="1069">
        <f>AO10*('Ввод исходных данных'!$D$83-AM10)</f>
        <v>907.19999999999993</v>
      </c>
      <c r="AQ10" s="1064">
        <v>-7.1</v>
      </c>
      <c r="AR10" s="1064"/>
      <c r="AS10" s="1064">
        <f>IF((E10-90)/2&gt;31,31,(E10-90)/2)</f>
        <v>31</v>
      </c>
      <c r="AT10" s="1064">
        <f>AS10*('Ввод исходных данных'!$D$83-AQ10)</f>
        <v>778.1</v>
      </c>
      <c r="AU10" s="1070">
        <v>3.6</v>
      </c>
      <c r="AV10" s="1070"/>
      <c r="AW10" s="1070">
        <f>IF((E10-151)&gt;0,IF((E10-151)/2&gt;30,30,(E10-151)/2),0)</f>
        <v>30</v>
      </c>
      <c r="AX10" s="1070">
        <f>AW10*('Ввод исходных данных'!$D$83-AU10)</f>
        <v>432</v>
      </c>
      <c r="AY10" s="1071">
        <v>12.3</v>
      </c>
      <c r="AZ10" s="1071"/>
      <c r="BA10" s="1071">
        <f>IF((E10-212)&gt;0,IF((E10-212)/2&gt;31,31,(E10-212)/2),0)</f>
        <v>0.5</v>
      </c>
      <c r="BB10" s="1071">
        <f>BA10*('Ввод исходных данных'!$D$83-AY10)</f>
        <v>2.8499999999999996</v>
      </c>
      <c r="BC10" s="1072">
        <v>17.8</v>
      </c>
      <c r="BD10" s="1072"/>
      <c r="BE10" s="1072">
        <f t="shared" ref="BE10:BE73" si="2">IF((E10-273)&gt;0,IF((E10-273)/2&gt;30,30,(E10-273)/2),0)</f>
        <v>0</v>
      </c>
      <c r="BF10" s="1073">
        <f>BE10*('Ввод исходных данных'!$D$83-BC10)</f>
        <v>0</v>
      </c>
    </row>
    <row r="11" spans="1:58" ht="15.75" customHeight="1" x14ac:dyDescent="0.25">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5452.8</v>
      </c>
      <c r="J11" s="1059" t="str">
        <f t="shared" si="1"/>
        <v>5000-6000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3.55</v>
      </c>
      <c r="W11" s="1065">
        <v>3.4</v>
      </c>
      <c r="X11" s="1065"/>
      <c r="Y11" s="1065">
        <f t="shared" ref="Y11:Y74" si="6">IF((E11-151)&gt;0,IF((E11-151)/2&gt;31,31,(E11-151)/2),0)</f>
        <v>31</v>
      </c>
      <c r="Z11" s="1065">
        <f>Y11*('Ввод исходных данных'!$D$83-W11)</f>
        <v>452.59999999999997</v>
      </c>
      <c r="AA11" s="1066">
        <v>-6.4</v>
      </c>
      <c r="AB11" s="1066"/>
      <c r="AC11" s="1066">
        <f t="shared" ref="AC11:AC74" si="7">IF((E11-90)/2&gt;30,30,(E11-90)/2)</f>
        <v>30</v>
      </c>
      <c r="AD11" s="1066">
        <f>AC11*('Ввод исходных данных'!$D$83-AA11)</f>
        <v>732</v>
      </c>
      <c r="AE11" s="1067">
        <v>-13.5</v>
      </c>
      <c r="AF11" s="1067"/>
      <c r="AG11" s="1067">
        <v>31</v>
      </c>
      <c r="AH11" s="1067">
        <f>AG11*('Ввод исходных данных'!$D$83-AE11)</f>
        <v>976.5</v>
      </c>
      <c r="AI11" s="1068">
        <v>-16.600000000000001</v>
      </c>
      <c r="AJ11" s="1068"/>
      <c r="AK11" s="1068">
        <v>31</v>
      </c>
      <c r="AL11" s="1068">
        <f>AK11*('Ввод исходных данных'!$D$83-AI11)</f>
        <v>1072.6000000000001</v>
      </c>
      <c r="AM11" s="1069">
        <v>-14.8</v>
      </c>
      <c r="AN11" s="1069"/>
      <c r="AO11" s="1069">
        <v>28</v>
      </c>
      <c r="AP11" s="1069">
        <f>AO11*('Ввод исходных данных'!$D$83-AM11)</f>
        <v>918.39999999999986</v>
      </c>
      <c r="AQ11" s="1064">
        <v>-7.5</v>
      </c>
      <c r="AR11" s="1064"/>
      <c r="AS11" s="1064">
        <f t="shared" ref="AS11:AS74" si="8">IF((E11-90)/2&gt;31,31,(E11-90)/2)</f>
        <v>31</v>
      </c>
      <c r="AT11" s="1064">
        <f>AS11*('Ввод исходных данных'!$D$83-AQ11)</f>
        <v>790.5</v>
      </c>
      <c r="AU11" s="1070">
        <v>3.8</v>
      </c>
      <c r="AV11" s="1070"/>
      <c r="AW11" s="1070">
        <f t="shared" ref="AW11:AW74" si="9">IF((E11-151)&gt;0,IF((E11-151)/2&gt;30,30,(E11-151)/2),0)</f>
        <v>30</v>
      </c>
      <c r="AX11" s="1070">
        <f>AW11*('Ввод исходных данных'!$D$83-AU11)</f>
        <v>426</v>
      </c>
      <c r="AY11" s="1071">
        <v>12.3</v>
      </c>
      <c r="AZ11" s="1071"/>
      <c r="BA11" s="1071">
        <f t="shared" ref="BA11:BA74" si="10">IF((E11-212)&gt;0,IF((E11-212)/2&gt;31,31,(E11-212)/2),0)</f>
        <v>0.5</v>
      </c>
      <c r="BB11" s="1071">
        <f>BA11*('Ввод исходных данных'!$D$83-AY11)</f>
        <v>2.8499999999999996</v>
      </c>
      <c r="BC11" s="1072">
        <v>17.7</v>
      </c>
      <c r="BD11" s="1072"/>
      <c r="BE11" s="1072">
        <f t="shared" si="2"/>
        <v>0</v>
      </c>
      <c r="BF11" s="1073">
        <f>BE11*('Ввод исходных данных'!$D$83-BC11)</f>
        <v>0</v>
      </c>
    </row>
    <row r="12" spans="1:58" ht="15.75" customHeight="1" x14ac:dyDescent="0.25">
      <c r="B12" s="1074" t="s">
        <v>0</v>
      </c>
      <c r="C12" s="1076" t="s">
        <v>8</v>
      </c>
      <c r="D12" s="1053" t="str">
        <f t="shared" si="0"/>
        <v>Алтайский крайЗмеиногорск</v>
      </c>
      <c r="E12" s="1054">
        <v>211</v>
      </c>
      <c r="F12" s="1055">
        <v>-6.7</v>
      </c>
      <c r="G12" s="1056">
        <v>-36</v>
      </c>
      <c r="H12" s="1057">
        <v>5.3</v>
      </c>
      <c r="I12" s="1058">
        <f>E12*('Ввод исходных данных'!$D$83-F12)</f>
        <v>5211.7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420</v>
      </c>
      <c r="AA12" s="1066">
        <v>-5.3</v>
      </c>
      <c r="AB12" s="1066"/>
      <c r="AC12" s="1066">
        <f t="shared" si="7"/>
        <v>30</v>
      </c>
      <c r="AD12" s="1066">
        <f>AC12*('Ввод исходных данных'!$D$83-AA12)</f>
        <v>699</v>
      </c>
      <c r="AE12" s="1067">
        <v>-11.7</v>
      </c>
      <c r="AF12" s="1067"/>
      <c r="AG12" s="1067">
        <v>31</v>
      </c>
      <c r="AH12" s="1067">
        <f>AG12*('Ввод исходных данных'!$D$83-AE12)</f>
        <v>920.69999999999993</v>
      </c>
      <c r="AI12" s="1068">
        <v>-14.3</v>
      </c>
      <c r="AJ12" s="1068"/>
      <c r="AK12" s="1068">
        <v>31</v>
      </c>
      <c r="AL12" s="1068">
        <f>AK12*('Ввод исходных данных'!$D$83-AI12)</f>
        <v>1001.3</v>
      </c>
      <c r="AM12" s="1069">
        <v>-13.4</v>
      </c>
      <c r="AN12" s="1069"/>
      <c r="AO12" s="1069">
        <v>28</v>
      </c>
      <c r="AP12" s="1069">
        <f>AO12*('Ввод исходных данных'!$D$83-AM12)</f>
        <v>879.19999999999993</v>
      </c>
      <c r="AQ12" s="1064">
        <v>-7.1</v>
      </c>
      <c r="AR12" s="1064"/>
      <c r="AS12" s="1064">
        <f t="shared" si="8"/>
        <v>31</v>
      </c>
      <c r="AT12" s="1064">
        <f>AS12*('Ввод исходных данных'!$D$83-AQ12)</f>
        <v>778.1</v>
      </c>
      <c r="AU12" s="1070">
        <v>4.0999999999999996</v>
      </c>
      <c r="AV12" s="1070"/>
      <c r="AW12" s="1070">
        <f t="shared" si="9"/>
        <v>30</v>
      </c>
      <c r="AX12" s="1070">
        <f>AW12*('Ввод исходных данных'!$D$83-AU12)</f>
        <v>417</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25">
      <c r="B13" s="1051" t="s">
        <v>0</v>
      </c>
      <c r="C13" s="1052" t="s">
        <v>4</v>
      </c>
      <c r="D13" s="1053" t="str">
        <f t="shared" si="0"/>
        <v>Алтайский крайРодино</v>
      </c>
      <c r="E13" s="1054">
        <v>215</v>
      </c>
      <c r="F13" s="1055">
        <v>-8.1</v>
      </c>
      <c r="G13" s="1055">
        <v>-38</v>
      </c>
      <c r="H13" s="1057">
        <v>6</v>
      </c>
      <c r="I13" s="1058">
        <f>E13*('Ввод исходных данных'!$D$83-F13)</f>
        <v>5611.5</v>
      </c>
      <c r="J13" s="1059" t="str">
        <f t="shared" si="1"/>
        <v>5000-6000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9.6000000000000014</v>
      </c>
      <c r="W13" s="1065">
        <v>3</v>
      </c>
      <c r="X13" s="1065"/>
      <c r="Y13" s="1065">
        <f t="shared" si="6"/>
        <v>31</v>
      </c>
      <c r="Z13" s="1065">
        <f>Y13*('Ввод исходных данных'!$D$83-W13)</f>
        <v>465</v>
      </c>
      <c r="AA13" s="1066">
        <v>-7.4</v>
      </c>
      <c r="AB13" s="1066"/>
      <c r="AC13" s="1066">
        <f t="shared" si="7"/>
        <v>30</v>
      </c>
      <c r="AD13" s="1066">
        <f>AC13*('Ввод исходных данных'!$D$83-AA13)</f>
        <v>762</v>
      </c>
      <c r="AE13" s="1067">
        <v>-15.1</v>
      </c>
      <c r="AF13" s="1067"/>
      <c r="AG13" s="1067">
        <v>31</v>
      </c>
      <c r="AH13" s="1067">
        <f>AG13*('Ввод исходных данных'!$D$83-AE13)</f>
        <v>1026.1000000000001</v>
      </c>
      <c r="AI13" s="1068">
        <v>-17.7</v>
      </c>
      <c r="AJ13" s="1068"/>
      <c r="AK13" s="1068">
        <v>31</v>
      </c>
      <c r="AL13" s="1068">
        <f>AK13*('Ввод исходных данных'!$D$83-AI13)</f>
        <v>1106.7</v>
      </c>
      <c r="AM13" s="1069">
        <v>-16.899999999999999</v>
      </c>
      <c r="AN13" s="1069"/>
      <c r="AO13" s="1069">
        <v>28</v>
      </c>
      <c r="AP13" s="1069">
        <f>AO13*('Ввод исходных данных'!$D$83-AM13)</f>
        <v>977.19999999999993</v>
      </c>
      <c r="AQ13" s="1064">
        <v>-9.8000000000000007</v>
      </c>
      <c r="AR13" s="1064"/>
      <c r="AS13" s="1064">
        <f t="shared" si="8"/>
        <v>31</v>
      </c>
      <c r="AT13" s="1064">
        <f>AS13*('Ввод исходных данных'!$D$83-AQ13)</f>
        <v>861.80000000000007</v>
      </c>
      <c r="AU13" s="1070">
        <v>3.3</v>
      </c>
      <c r="AV13" s="1070"/>
      <c r="AW13" s="1070">
        <f t="shared" si="9"/>
        <v>30</v>
      </c>
      <c r="AX13" s="1070">
        <f>AW13*('Ввод исходных данных'!$D$83-AU13)</f>
        <v>441</v>
      </c>
      <c r="AY13" s="1071">
        <v>12.5</v>
      </c>
      <c r="AZ13" s="1071"/>
      <c r="BA13" s="1071">
        <f t="shared" si="10"/>
        <v>1.5</v>
      </c>
      <c r="BB13" s="1071">
        <f>BA13*('Ввод исходных данных'!$D$83-AY13)</f>
        <v>8.25</v>
      </c>
      <c r="BC13" s="1072">
        <v>18.600000000000001</v>
      </c>
      <c r="BD13" s="1072"/>
      <c r="BE13" s="1072">
        <f t="shared" si="2"/>
        <v>0</v>
      </c>
      <c r="BF13" s="1073">
        <f>BE13*('Ввод исходных данных'!$D$83-BC13)</f>
        <v>0</v>
      </c>
    </row>
    <row r="14" spans="1:58" ht="15.75" customHeight="1" x14ac:dyDescent="0.25">
      <c r="B14" s="1074" t="s">
        <v>0</v>
      </c>
      <c r="C14" s="1076" t="s">
        <v>5</v>
      </c>
      <c r="D14" s="1053" t="str">
        <f t="shared" si="0"/>
        <v>Алтайский крайРубцовск</v>
      </c>
      <c r="E14" s="1054">
        <v>206</v>
      </c>
      <c r="F14" s="1055">
        <v>-7.9</v>
      </c>
      <c r="G14" s="1055">
        <v>-35</v>
      </c>
      <c r="H14" s="1057">
        <v>7.2</v>
      </c>
      <c r="I14" s="1058">
        <f>E14*('Ввод исходных данных'!$D$83-F14)</f>
        <v>5335.4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382.25</v>
      </c>
      <c r="AA14" s="1066">
        <v>-5.7</v>
      </c>
      <c r="AB14" s="1066"/>
      <c r="AC14" s="1066">
        <f t="shared" si="7"/>
        <v>30</v>
      </c>
      <c r="AD14" s="1066">
        <f>AC14*('Ввод исходных данных'!$D$83-AA14)</f>
        <v>711</v>
      </c>
      <c r="AE14" s="1067">
        <v>-13.2</v>
      </c>
      <c r="AF14" s="1067"/>
      <c r="AG14" s="1067">
        <v>31</v>
      </c>
      <c r="AH14" s="1067">
        <f>AG14*('Ввод исходных данных'!$D$83-AE14)</f>
        <v>967.19999999999993</v>
      </c>
      <c r="AI14" s="1068">
        <v>-16.2</v>
      </c>
      <c r="AJ14" s="1068"/>
      <c r="AK14" s="1068">
        <v>31</v>
      </c>
      <c r="AL14" s="1068">
        <f>AK14*('Ввод исходных данных'!$D$83-AI14)</f>
        <v>1060.2</v>
      </c>
      <c r="AM14" s="1069">
        <v>-14.9</v>
      </c>
      <c r="AN14" s="1069"/>
      <c r="AO14" s="1069">
        <v>28</v>
      </c>
      <c r="AP14" s="1069">
        <f>AO14*('Ввод исходных данных'!$D$83-AM14)</f>
        <v>921.19999999999993</v>
      </c>
      <c r="AQ14" s="1064">
        <v>-7.8</v>
      </c>
      <c r="AR14" s="1064"/>
      <c r="AS14" s="1064">
        <f t="shared" si="8"/>
        <v>31</v>
      </c>
      <c r="AT14" s="1064">
        <f>AS14*('Ввод исходных данных'!$D$83-AQ14)</f>
        <v>799.80000000000007</v>
      </c>
      <c r="AU14" s="1070">
        <v>4.5999999999999996</v>
      </c>
      <c r="AV14" s="1070"/>
      <c r="AW14" s="1070">
        <f t="shared" si="9"/>
        <v>27.5</v>
      </c>
      <c r="AX14" s="1070">
        <f>AW14*('Ввод исходных данных'!$D$83-AU14)</f>
        <v>368.5</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25">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5520.8</v>
      </c>
      <c r="J15" s="1059" t="str">
        <f t="shared" si="1"/>
        <v>5000-6000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396</v>
      </c>
      <c r="AA15" s="1066">
        <v>-6.7</v>
      </c>
      <c r="AB15" s="1066"/>
      <c r="AC15" s="1066">
        <f t="shared" si="7"/>
        <v>30</v>
      </c>
      <c r="AD15" s="1066">
        <f>AC15*('Ввод исходных данных'!$D$83-AA15)</f>
        <v>741</v>
      </c>
      <c r="AE15" s="1067">
        <v>-14.2</v>
      </c>
      <c r="AF15" s="1067"/>
      <c r="AG15" s="1067">
        <v>31</v>
      </c>
      <c r="AH15" s="1067">
        <f>AG15*('Ввод исходных данных'!$D$83-AE15)</f>
        <v>998.2</v>
      </c>
      <c r="AI15" s="1068">
        <v>-17.600000000000001</v>
      </c>
      <c r="AJ15" s="1068"/>
      <c r="AK15" s="1068">
        <v>31</v>
      </c>
      <c r="AL15" s="1068">
        <f>AK15*('Ввод исходных данных'!$D$83-AI15)</f>
        <v>1103.6000000000001</v>
      </c>
      <c r="AM15" s="1069">
        <v>-16.3</v>
      </c>
      <c r="AN15" s="1069"/>
      <c r="AO15" s="1069">
        <v>28</v>
      </c>
      <c r="AP15" s="1069">
        <f>AO15*('Ввод исходных данных'!$D$83-AM15)</f>
        <v>960.39999999999986</v>
      </c>
      <c r="AQ15" s="1064">
        <v>-8.8000000000000007</v>
      </c>
      <c r="AR15" s="1064"/>
      <c r="AS15" s="1064">
        <f t="shared" si="8"/>
        <v>31</v>
      </c>
      <c r="AT15" s="1064">
        <f>AS15*('Ввод исходных данных'!$D$83-AQ15)</f>
        <v>830.80000000000007</v>
      </c>
      <c r="AU15" s="1070">
        <v>4.5</v>
      </c>
      <c r="AV15" s="1070"/>
      <c r="AW15" s="1070">
        <f t="shared" si="9"/>
        <v>27.5</v>
      </c>
      <c r="AX15" s="1070">
        <f>AW15*('Ввод исходных данных'!$D$83-AU15)</f>
        <v>371.25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25">
      <c r="B16" s="1074" t="s">
        <v>0</v>
      </c>
      <c r="C16" s="1076" t="s">
        <v>7</v>
      </c>
      <c r="D16" s="1053" t="str">
        <f t="shared" si="0"/>
        <v>Алтайский крайТогул</v>
      </c>
      <c r="E16" s="1054">
        <v>225</v>
      </c>
      <c r="F16" s="1055">
        <v>-7.3</v>
      </c>
      <c r="G16" s="1055">
        <v>-37</v>
      </c>
      <c r="H16" s="1057">
        <f>H15</f>
        <v>5</v>
      </c>
      <c r="I16" s="1058">
        <f>E16*('Ввод исходных данных'!$D$83-F16)</f>
        <v>5692.5</v>
      </c>
      <c r="J16" s="1059" t="str">
        <f t="shared" si="1"/>
        <v>5000-6000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50.05</v>
      </c>
      <c r="W16" s="1065">
        <v>2.4</v>
      </c>
      <c r="X16" s="1065"/>
      <c r="Y16" s="1065">
        <f t="shared" si="6"/>
        <v>31</v>
      </c>
      <c r="Z16" s="1065">
        <f>Y16*('Ввод исходных данных'!$D$83-W16)</f>
        <v>483.59999999999997</v>
      </c>
      <c r="AA16" s="1066">
        <v>-8.1</v>
      </c>
      <c r="AB16" s="1066"/>
      <c r="AC16" s="1066">
        <f t="shared" si="7"/>
        <v>30</v>
      </c>
      <c r="AD16" s="1066">
        <f>AC16*('Ввод исходных данных'!$D$83-AA16)</f>
        <v>783</v>
      </c>
      <c r="AE16" s="1067">
        <v>-15</v>
      </c>
      <c r="AF16" s="1067"/>
      <c r="AG16" s="1067">
        <v>31</v>
      </c>
      <c r="AH16" s="1067">
        <f>AG16*('Ввод исходных данных'!$D$83-AE16)</f>
        <v>1023</v>
      </c>
      <c r="AI16" s="1068">
        <v>-16.5</v>
      </c>
      <c r="AJ16" s="1068"/>
      <c r="AK16" s="1068">
        <v>31</v>
      </c>
      <c r="AL16" s="1068">
        <f>AK16*('Ввод исходных данных'!$D$83-AI16)</f>
        <v>1069.5</v>
      </c>
      <c r="AM16" s="1069">
        <v>-15.3</v>
      </c>
      <c r="AN16" s="1069"/>
      <c r="AO16" s="1069">
        <v>28</v>
      </c>
      <c r="AP16" s="1069">
        <f>AO16*('Ввод исходных данных'!$D$83-AM16)</f>
        <v>932.39999999999986</v>
      </c>
      <c r="AQ16" s="1064">
        <v>-8.6999999999999993</v>
      </c>
      <c r="AR16" s="1064"/>
      <c r="AS16" s="1064">
        <f t="shared" si="8"/>
        <v>31</v>
      </c>
      <c r="AT16" s="1064">
        <f>AS16*('Ввод исходных данных'!$D$83-AQ16)</f>
        <v>827.69999999999993</v>
      </c>
      <c r="AU16" s="1070">
        <v>1.7</v>
      </c>
      <c r="AV16" s="1070"/>
      <c r="AW16" s="1070">
        <f t="shared" si="9"/>
        <v>30</v>
      </c>
      <c r="AX16" s="1070">
        <f>AW16*('Ввод исходных данных'!$D$83-AU16)</f>
        <v>489</v>
      </c>
      <c r="AY16" s="1071">
        <v>10.5</v>
      </c>
      <c r="AZ16" s="1071"/>
      <c r="BA16" s="1071">
        <f t="shared" si="10"/>
        <v>6.5</v>
      </c>
      <c r="BB16" s="1071">
        <f>BA16*('Ввод исходных данных'!$D$83-AY16)</f>
        <v>48.75</v>
      </c>
      <c r="BC16" s="1072">
        <v>16.7</v>
      </c>
      <c r="BD16" s="1072"/>
      <c r="BE16" s="1072">
        <f t="shared" si="2"/>
        <v>0</v>
      </c>
      <c r="BF16" s="1073">
        <f>BE16*('Ввод исходных данных'!$D$83-BC16)</f>
        <v>0</v>
      </c>
    </row>
    <row r="17" spans="2:58" ht="15.75" customHeight="1" x14ac:dyDescent="0.25">
      <c r="B17" s="1051" t="s">
        <v>13</v>
      </c>
      <c r="C17" s="1052" t="s">
        <v>633</v>
      </c>
      <c r="D17" s="1053" t="str">
        <f t="shared" si="0"/>
        <v>Амурская областьАрхара</v>
      </c>
      <c r="E17" s="1054">
        <v>211</v>
      </c>
      <c r="F17" s="1055">
        <v>-12.7</v>
      </c>
      <c r="G17" s="1055">
        <v>-36</v>
      </c>
      <c r="H17" s="1057">
        <v>2.5</v>
      </c>
      <c r="I17" s="1058">
        <f>E17*('Ввод исходных данных'!$D$83-F17)</f>
        <v>6477.7</v>
      </c>
      <c r="J17" s="1059" t="str">
        <f t="shared" si="1"/>
        <v>6000-7000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471</v>
      </c>
      <c r="AA17" s="1066">
        <v>-11.6</v>
      </c>
      <c r="AB17" s="1066"/>
      <c r="AC17" s="1066">
        <f t="shared" si="7"/>
        <v>30</v>
      </c>
      <c r="AD17" s="1066">
        <f>AC17*('Ввод исходных данных'!$D$83-AA17)</f>
        <v>888</v>
      </c>
      <c r="AE17" s="1067">
        <v>-23.2</v>
      </c>
      <c r="AF17" s="1067"/>
      <c r="AG17" s="1067">
        <v>31</v>
      </c>
      <c r="AH17" s="1067">
        <f>AG17*('Ввод исходных данных'!$D$83-AE17)</f>
        <v>1277.2</v>
      </c>
      <c r="AI17" s="1068">
        <v>-26</v>
      </c>
      <c r="AJ17" s="1068"/>
      <c r="AK17" s="1068">
        <v>31</v>
      </c>
      <c r="AL17" s="1068">
        <f>AK17*('Ввод исходных данных'!$D$83-AI17)</f>
        <v>1364</v>
      </c>
      <c r="AM17" s="1069">
        <v>-20.5</v>
      </c>
      <c r="AN17" s="1069"/>
      <c r="AO17" s="1069">
        <v>28</v>
      </c>
      <c r="AP17" s="1069">
        <f>AO17*('Ввод исходных данных'!$D$83-AM17)</f>
        <v>1078</v>
      </c>
      <c r="AQ17" s="1064">
        <v>-9.4</v>
      </c>
      <c r="AR17" s="1064"/>
      <c r="AS17" s="1064">
        <f t="shared" si="8"/>
        <v>31</v>
      </c>
      <c r="AT17" s="1064">
        <f>AS17*('Ввод исходных данных'!$D$83-AQ17)</f>
        <v>849.4</v>
      </c>
      <c r="AU17" s="1070">
        <v>3.9</v>
      </c>
      <c r="AV17" s="1070"/>
      <c r="AW17" s="1070">
        <f t="shared" si="9"/>
        <v>30</v>
      </c>
      <c r="AX17" s="1070">
        <f>AW17*('Ввод исходных данных'!$D$83-AU17)</f>
        <v>423</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25">
      <c r="B18" s="1074" t="s">
        <v>13</v>
      </c>
      <c r="C18" s="1076" t="s">
        <v>14</v>
      </c>
      <c r="D18" s="1053" t="str">
        <f t="shared" si="0"/>
        <v>Амурская областьБелогорск</v>
      </c>
      <c r="E18" s="1054">
        <v>223</v>
      </c>
      <c r="F18" s="1055">
        <v>-11.9</v>
      </c>
      <c r="G18" s="1055">
        <v>-37</v>
      </c>
      <c r="H18" s="1057">
        <v>2.7</v>
      </c>
      <c r="I18" s="1058">
        <f>E18*('Ввод исходных данных'!$D$83-F18)</f>
        <v>6667.7</v>
      </c>
      <c r="J18" s="1059" t="str">
        <f t="shared" si="1"/>
        <v>6000-7000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34.650000000000006</v>
      </c>
      <c r="W18" s="1065">
        <v>1.3</v>
      </c>
      <c r="X18" s="1065"/>
      <c r="Y18" s="1065">
        <f t="shared" si="6"/>
        <v>31</v>
      </c>
      <c r="Z18" s="1065">
        <f>Y18*('Ввод исходных данных'!$D$83-W18)</f>
        <v>517.69999999999993</v>
      </c>
      <c r="AA18" s="1066">
        <v>-13.5</v>
      </c>
      <c r="AB18" s="1066"/>
      <c r="AC18" s="1066">
        <f t="shared" si="7"/>
        <v>30</v>
      </c>
      <c r="AD18" s="1066">
        <f>AC18*('Ввод исходных данных'!$D$83-AA18)</f>
        <v>945</v>
      </c>
      <c r="AE18" s="1067">
        <v>-24</v>
      </c>
      <c r="AF18" s="1067"/>
      <c r="AG18" s="1067">
        <v>31</v>
      </c>
      <c r="AH18" s="1067">
        <f>AG18*('Ввод исходных данных'!$D$83-AE18)</f>
        <v>1302</v>
      </c>
      <c r="AI18" s="1068">
        <v>-27.1</v>
      </c>
      <c r="AJ18" s="1068"/>
      <c r="AK18" s="1068">
        <v>31</v>
      </c>
      <c r="AL18" s="1068">
        <f>AK18*('Ввод исходных данных'!$D$83-AI18)</f>
        <v>1398.1000000000001</v>
      </c>
      <c r="AM18" s="1069">
        <v>-20.7</v>
      </c>
      <c r="AN18" s="1069"/>
      <c r="AO18" s="1069">
        <v>28</v>
      </c>
      <c r="AP18" s="1069">
        <f>AO18*('Ввод исходных данных'!$D$83-AM18)</f>
        <v>1083.6000000000001</v>
      </c>
      <c r="AQ18" s="1064">
        <v>-10.9</v>
      </c>
      <c r="AR18" s="1064"/>
      <c r="AS18" s="1064">
        <f t="shared" si="8"/>
        <v>31</v>
      </c>
      <c r="AT18" s="1064">
        <f>AS18*('Ввод исходных данных'!$D$83-AQ18)</f>
        <v>895.9</v>
      </c>
      <c r="AU18" s="1070">
        <v>1.8</v>
      </c>
      <c r="AV18" s="1070"/>
      <c r="AW18" s="1070">
        <f t="shared" si="9"/>
        <v>30</v>
      </c>
      <c r="AX18" s="1070">
        <f>AW18*('Ввод исходных данных'!$D$83-AU18)</f>
        <v>486</v>
      </c>
      <c r="AY18" s="1071">
        <v>10.3</v>
      </c>
      <c r="AZ18" s="1071"/>
      <c r="BA18" s="1071">
        <f t="shared" si="10"/>
        <v>5.5</v>
      </c>
      <c r="BB18" s="1071">
        <f>BA18*('Ввод исходных данных'!$D$83-AY18)</f>
        <v>42.349999999999994</v>
      </c>
      <c r="BC18" s="1072">
        <v>17.399999999999999</v>
      </c>
      <c r="BD18" s="1072"/>
      <c r="BE18" s="1072">
        <f t="shared" si="2"/>
        <v>0</v>
      </c>
      <c r="BF18" s="1073">
        <f>BE18*('Ввод исходных данных'!$D$83-BC18)</f>
        <v>0</v>
      </c>
    </row>
    <row r="19" spans="2:58" ht="15.75" customHeight="1" x14ac:dyDescent="0.25">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6027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445.45</v>
      </c>
      <c r="AA19" s="1066">
        <v>-10.4</v>
      </c>
      <c r="AB19" s="1066"/>
      <c r="AC19" s="1066">
        <f t="shared" si="7"/>
        <v>30</v>
      </c>
      <c r="AD19" s="1066">
        <f>AC19*('Ввод исходных данных'!$D$83-AA19)</f>
        <v>852</v>
      </c>
      <c r="AE19" s="1067">
        <v>-20.399999999999999</v>
      </c>
      <c r="AF19" s="1067"/>
      <c r="AG19" s="1067">
        <v>31</v>
      </c>
      <c r="AH19" s="1067">
        <f>AG19*('Ввод исходных данных'!$D$83-AE19)</f>
        <v>1190.3999999999999</v>
      </c>
      <c r="AI19" s="1068">
        <v>-22.3</v>
      </c>
      <c r="AJ19" s="1068"/>
      <c r="AK19" s="1068">
        <v>31</v>
      </c>
      <c r="AL19" s="1068">
        <f>AK19*('Ввод исходных данных'!$D$83-AI19)</f>
        <v>1249.3</v>
      </c>
      <c r="AM19" s="1069">
        <v>-17.2</v>
      </c>
      <c r="AN19" s="1069"/>
      <c r="AO19" s="1069">
        <v>28</v>
      </c>
      <c r="AP19" s="1069">
        <f>AO19*('Ввод исходных данных'!$D$83-AM19)</f>
        <v>985.60000000000014</v>
      </c>
      <c r="AQ19" s="1064">
        <v>-7.2</v>
      </c>
      <c r="AR19" s="1064"/>
      <c r="AS19" s="1064">
        <f t="shared" si="8"/>
        <v>31</v>
      </c>
      <c r="AT19" s="1064">
        <f>AS19*('Ввод исходных данных'!$D$83-AQ19)</f>
        <v>781.19999999999993</v>
      </c>
      <c r="AU19" s="1070">
        <v>4.2</v>
      </c>
      <c r="AV19" s="1070"/>
      <c r="AW19" s="1070">
        <f t="shared" si="9"/>
        <v>29.5</v>
      </c>
      <c r="AX19" s="1070">
        <f>AW19*('Ввод исходных данных'!$D$83-AU19)</f>
        <v>407.1</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25">
      <c r="B20" s="1074" t="s">
        <v>13</v>
      </c>
      <c r="C20" s="1076" t="s">
        <v>16</v>
      </c>
      <c r="D20" s="1053" t="str">
        <f t="shared" si="0"/>
        <v>Амурская областьБомнак</v>
      </c>
      <c r="E20" s="1054">
        <v>240</v>
      </c>
      <c r="F20" s="1055">
        <v>-14.7</v>
      </c>
      <c r="G20" s="1055">
        <v>-40</v>
      </c>
      <c r="H20" s="1057">
        <v>2</v>
      </c>
      <c r="I20" s="1058">
        <f>E20*('Ввод исходных данных'!$D$83-F20)</f>
        <v>7848.0000000000009</v>
      </c>
      <c r="J20" s="1059" t="str">
        <f t="shared" si="1"/>
        <v>7000-8000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134.4</v>
      </c>
      <c r="W20" s="1065">
        <v>-2.5</v>
      </c>
      <c r="X20" s="1065"/>
      <c r="Y20" s="1065">
        <f t="shared" si="6"/>
        <v>31</v>
      </c>
      <c r="Z20" s="1065">
        <f>Y20*('Ввод исходных данных'!$D$83-W20)</f>
        <v>635.5</v>
      </c>
      <c r="AA20" s="1066">
        <v>-19.2</v>
      </c>
      <c r="AB20" s="1066"/>
      <c r="AC20" s="1066">
        <f t="shared" si="7"/>
        <v>30</v>
      </c>
      <c r="AD20" s="1066">
        <f>AC20*('Ввод исходных данных'!$D$83-AA20)</f>
        <v>1116</v>
      </c>
      <c r="AE20" s="1067">
        <v>-29.5</v>
      </c>
      <c r="AF20" s="1067"/>
      <c r="AG20" s="1067">
        <v>31</v>
      </c>
      <c r="AH20" s="1067">
        <f>AG20*('Ввод исходных данных'!$D$83-AE20)</f>
        <v>1472.5</v>
      </c>
      <c r="AI20" s="1068">
        <v>-30.2</v>
      </c>
      <c r="AJ20" s="1068"/>
      <c r="AK20" s="1068">
        <v>31</v>
      </c>
      <c r="AL20" s="1068">
        <f>AK20*('Ввод исходных данных'!$D$83-AI20)</f>
        <v>1494.2</v>
      </c>
      <c r="AM20" s="1069">
        <v>-23.8</v>
      </c>
      <c r="AN20" s="1069"/>
      <c r="AO20" s="1069">
        <v>28</v>
      </c>
      <c r="AP20" s="1069">
        <f>AO20*('Ввод исходных данных'!$D$83-AM20)</f>
        <v>1170.3999999999999</v>
      </c>
      <c r="AQ20" s="1064">
        <v>-12.4</v>
      </c>
      <c r="AR20" s="1064"/>
      <c r="AS20" s="1064">
        <f t="shared" si="8"/>
        <v>31</v>
      </c>
      <c r="AT20" s="1064">
        <f>AS20*('Ввод исходных данных'!$D$83-AQ20)</f>
        <v>942.4</v>
      </c>
      <c r="AU20" s="1070">
        <v>-0.4</v>
      </c>
      <c r="AV20" s="1070"/>
      <c r="AW20" s="1070">
        <f t="shared" si="9"/>
        <v>30</v>
      </c>
      <c r="AX20" s="1070">
        <f>AW20*('Ввод исходных данных'!$D$83-AU20)</f>
        <v>552</v>
      </c>
      <c r="AY20" s="1071">
        <v>8.5</v>
      </c>
      <c r="AZ20" s="1071"/>
      <c r="BA20" s="1071">
        <f t="shared" si="10"/>
        <v>14</v>
      </c>
      <c r="BB20" s="1071">
        <f>BA20*('Ввод исходных данных'!$D$83-AY20)</f>
        <v>133</v>
      </c>
      <c r="BC20" s="1072">
        <v>15.5</v>
      </c>
      <c r="BD20" s="1072"/>
      <c r="BE20" s="1072">
        <f t="shared" si="2"/>
        <v>0</v>
      </c>
      <c r="BF20" s="1073">
        <f>BE20*('Ввод исходных данных'!$D$83-BC20)</f>
        <v>0</v>
      </c>
    </row>
    <row r="21" spans="2:58" ht="15.75" customHeight="1" x14ac:dyDescent="0.25">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6961.5999999999995</v>
      </c>
      <c r="J21" s="1059" t="str">
        <f t="shared" si="1"/>
        <v>6000-7000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61.199999999999996</v>
      </c>
      <c r="W21" s="1065">
        <v>0.5</v>
      </c>
      <c r="X21" s="1065"/>
      <c r="Y21" s="1065">
        <f t="shared" si="6"/>
        <v>31</v>
      </c>
      <c r="Z21" s="1065">
        <f>Y21*('Ввод исходных данных'!$D$83-W21)</f>
        <v>542.5</v>
      </c>
      <c r="AA21" s="1066">
        <v>-14.3</v>
      </c>
      <c r="AB21" s="1066"/>
      <c r="AC21" s="1066">
        <f t="shared" si="7"/>
        <v>30</v>
      </c>
      <c r="AD21" s="1066">
        <f>AC21*('Ввод исходных данных'!$D$83-AA21)</f>
        <v>968.99999999999989</v>
      </c>
      <c r="AE21" s="1067">
        <v>-25.3</v>
      </c>
      <c r="AF21" s="1067"/>
      <c r="AG21" s="1067">
        <v>31</v>
      </c>
      <c r="AH21" s="1067">
        <f>AG21*('Ввод исходных данных'!$D$83-AE21)</f>
        <v>1342.3</v>
      </c>
      <c r="AI21" s="1068">
        <v>-28</v>
      </c>
      <c r="AJ21" s="1068"/>
      <c r="AK21" s="1068">
        <v>31</v>
      </c>
      <c r="AL21" s="1068">
        <f>AK21*('Ввод исходных данных'!$D$83-AI21)</f>
        <v>1426</v>
      </c>
      <c r="AM21" s="1069">
        <v>-21.8</v>
      </c>
      <c r="AN21" s="1069"/>
      <c r="AO21" s="1069">
        <v>28</v>
      </c>
      <c r="AP21" s="1069">
        <f>AO21*('Ввод исходных данных'!$D$83-AM21)</f>
        <v>1114.3999999999999</v>
      </c>
      <c r="AQ21" s="1064">
        <v>-12.1</v>
      </c>
      <c r="AR21" s="1064"/>
      <c r="AS21" s="1064">
        <f t="shared" si="8"/>
        <v>31</v>
      </c>
      <c r="AT21" s="1064">
        <f>AS21*('Ввод исходных данных'!$D$83-AQ21)</f>
        <v>933.1</v>
      </c>
      <c r="AU21" s="1070">
        <v>0.8</v>
      </c>
      <c r="AV21" s="1070"/>
      <c r="AW21" s="1070">
        <f t="shared" si="9"/>
        <v>30</v>
      </c>
      <c r="AX21" s="1070">
        <f>AW21*('Ввод исходных данных'!$D$83-AU21)</f>
        <v>516</v>
      </c>
      <c r="AY21" s="1071">
        <v>9.5</v>
      </c>
      <c r="AZ21" s="1071"/>
      <c r="BA21" s="1071">
        <f t="shared" si="10"/>
        <v>8.5</v>
      </c>
      <c r="BB21" s="1071">
        <f>BA21*('Ввод исходных данных'!$D$83-AY21)</f>
        <v>72.25</v>
      </c>
      <c r="BC21" s="1072">
        <v>16.3</v>
      </c>
      <c r="BD21" s="1072"/>
      <c r="BE21" s="1072">
        <f t="shared" si="2"/>
        <v>0</v>
      </c>
      <c r="BF21" s="1073">
        <f>BE21*('Ввод исходных данных'!$D$83-BC21)</f>
        <v>0</v>
      </c>
    </row>
    <row r="22" spans="2:58" ht="15.75" customHeight="1" x14ac:dyDescent="0.25">
      <c r="B22" s="1074" t="s">
        <v>13</v>
      </c>
      <c r="C22" s="1076" t="s">
        <v>18</v>
      </c>
      <c r="D22" s="1053" t="str">
        <f t="shared" si="0"/>
        <v>Амурская областьБысса</v>
      </c>
      <c r="E22" s="1054">
        <v>236</v>
      </c>
      <c r="F22" s="1055">
        <v>-13.6</v>
      </c>
      <c r="G22" s="1055">
        <v>-41</v>
      </c>
      <c r="H22" s="1057">
        <v>1.3</v>
      </c>
      <c r="I22" s="1058">
        <f>E22*('Ввод исходных данных'!$D$83-F22)</f>
        <v>7457.6</v>
      </c>
      <c r="J22" s="1059" t="str">
        <f t="shared" si="1"/>
        <v>7000-8000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106.80000000000001</v>
      </c>
      <c r="W22" s="1079">
        <v>-1</v>
      </c>
      <c r="X22" s="1079"/>
      <c r="Y22" s="1065">
        <f t="shared" si="6"/>
        <v>31</v>
      </c>
      <c r="Z22" s="1065">
        <f>Y22*('Ввод исходных данных'!$D$83-W22)</f>
        <v>589</v>
      </c>
      <c r="AA22" s="1080">
        <v>-16.8</v>
      </c>
      <c r="AB22" s="1080"/>
      <c r="AC22" s="1066">
        <f t="shared" si="7"/>
        <v>30</v>
      </c>
      <c r="AD22" s="1066">
        <f>AC22*('Ввод исходных данных'!$D$83-AA22)</f>
        <v>1044</v>
      </c>
      <c r="AE22" s="1081">
        <v>-28.1</v>
      </c>
      <c r="AF22" s="1081"/>
      <c r="AG22" s="1067">
        <v>31</v>
      </c>
      <c r="AH22" s="1067">
        <f>AG22*('Ввод исходных данных'!$D$83-AE22)</f>
        <v>1429.1000000000001</v>
      </c>
      <c r="AI22" s="1082">
        <v>-30.7</v>
      </c>
      <c r="AJ22" s="1082"/>
      <c r="AK22" s="1068">
        <v>31</v>
      </c>
      <c r="AL22" s="1068">
        <f>AK22*('Ввод исходных данных'!$D$83-AI22)</f>
        <v>1509.7</v>
      </c>
      <c r="AM22" s="1083">
        <v>-24.3</v>
      </c>
      <c r="AN22" s="1083"/>
      <c r="AO22" s="1069">
        <v>28</v>
      </c>
      <c r="AP22" s="1069">
        <f>AO22*('Ввод исходных данных'!$D$83-AM22)</f>
        <v>1184.3999999999999</v>
      </c>
      <c r="AQ22" s="1078">
        <v>-12.8</v>
      </c>
      <c r="AR22" s="1078"/>
      <c r="AS22" s="1064">
        <f t="shared" si="8"/>
        <v>31</v>
      </c>
      <c r="AT22" s="1064">
        <f>AS22*('Ввод исходных данных'!$D$83-AQ22)</f>
        <v>954.80000000000007</v>
      </c>
      <c r="AU22" s="1084">
        <v>-0.4</v>
      </c>
      <c r="AV22" s="1084"/>
      <c r="AW22" s="1070">
        <f t="shared" si="9"/>
        <v>30</v>
      </c>
      <c r="AX22" s="1070">
        <f>AW22*('Ввод исходных данных'!$D$83-AU22)</f>
        <v>552</v>
      </c>
      <c r="AY22" s="1085">
        <v>8.8000000000000007</v>
      </c>
      <c r="AZ22" s="1085"/>
      <c r="BA22" s="1071">
        <f t="shared" si="10"/>
        <v>12</v>
      </c>
      <c r="BB22" s="1071">
        <f>BA22*('Ввод исходных данных'!$D$83-AY22)</f>
        <v>110.39999999999999</v>
      </c>
      <c r="BC22" s="1086">
        <v>15.2</v>
      </c>
      <c r="BD22" s="1086"/>
      <c r="BE22" s="1072">
        <f t="shared" si="2"/>
        <v>0</v>
      </c>
      <c r="BF22" s="1073">
        <f>BE22*('Ввод исходных данных'!$D$83-BC22)</f>
        <v>0</v>
      </c>
    </row>
    <row r="23" spans="2:58" ht="15.75" customHeight="1" x14ac:dyDescent="0.25">
      <c r="B23" s="1051" t="s">
        <v>13</v>
      </c>
      <c r="C23" s="1052" t="s">
        <v>23</v>
      </c>
      <c r="D23" s="1053" t="str">
        <f t="shared" si="0"/>
        <v>Амурская областьГош</v>
      </c>
      <c r="E23" s="1054">
        <v>233</v>
      </c>
      <c r="F23" s="1055">
        <v>-14</v>
      </c>
      <c r="G23" s="1055">
        <v>-42</v>
      </c>
      <c r="H23" s="1057">
        <v>1.5</v>
      </c>
      <c r="I23" s="1058">
        <f>E23*('Ввод исходных данных'!$D$83-F23)</f>
        <v>7456</v>
      </c>
      <c r="J23" s="1059" t="str">
        <f t="shared" si="1"/>
        <v>7000-8000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85.05</v>
      </c>
      <c r="W23" s="1065">
        <v>-0.6</v>
      </c>
      <c r="X23" s="1065"/>
      <c r="Y23" s="1065">
        <f t="shared" si="6"/>
        <v>31</v>
      </c>
      <c r="Z23" s="1065">
        <f>Y23*('Ввод исходных данных'!$D$83-W23)</f>
        <v>576.6</v>
      </c>
      <c r="AA23" s="1066">
        <v>-16.3</v>
      </c>
      <c r="AB23" s="1066"/>
      <c r="AC23" s="1066">
        <f t="shared" si="7"/>
        <v>30</v>
      </c>
      <c r="AD23" s="1066">
        <f>AC23*('Ввод исходных данных'!$D$83-AA23)</f>
        <v>1029</v>
      </c>
      <c r="AE23" s="1067">
        <v>-28.2</v>
      </c>
      <c r="AF23" s="1067"/>
      <c r="AG23" s="1067">
        <v>31</v>
      </c>
      <c r="AH23" s="1067">
        <f>AG23*('Ввод исходных данных'!$D$83-AE23)</f>
        <v>1432.2</v>
      </c>
      <c r="AI23" s="1068">
        <v>-31.2</v>
      </c>
      <c r="AJ23" s="1068"/>
      <c r="AK23" s="1068">
        <v>31</v>
      </c>
      <c r="AL23" s="1068">
        <f>AK23*('Ввод исходных данных'!$D$83-AI23)</f>
        <v>1525.2</v>
      </c>
      <c r="AM23" s="1069">
        <v>-24.6</v>
      </c>
      <c r="AN23" s="1069"/>
      <c r="AO23" s="1069">
        <v>28</v>
      </c>
      <c r="AP23" s="1069">
        <f>AO23*('Ввод исходных данных'!$D$83-AM23)</f>
        <v>1192.8</v>
      </c>
      <c r="AQ23" s="1064">
        <v>-14</v>
      </c>
      <c r="AR23" s="1064"/>
      <c r="AS23" s="1064">
        <f t="shared" si="8"/>
        <v>31</v>
      </c>
      <c r="AT23" s="1064">
        <f>AS23*('Ввод исходных данных'!$D$83-AQ23)</f>
        <v>992</v>
      </c>
      <c r="AU23" s="1070">
        <v>0.3</v>
      </c>
      <c r="AV23" s="1070"/>
      <c r="AW23" s="1070">
        <f t="shared" si="9"/>
        <v>30</v>
      </c>
      <c r="AX23" s="1070">
        <f>AW23*('Ввод исходных данных'!$D$83-AU23)</f>
        <v>531</v>
      </c>
      <c r="AY23" s="1071">
        <v>9.1</v>
      </c>
      <c r="AZ23" s="1071"/>
      <c r="BA23" s="1071">
        <f t="shared" si="10"/>
        <v>10.5</v>
      </c>
      <c r="BB23" s="1071">
        <f>BA23*('Ввод исходных данных'!$D$83-AY23)</f>
        <v>93.45</v>
      </c>
      <c r="BC23" s="1072">
        <v>15.9</v>
      </c>
      <c r="BD23" s="1072"/>
      <c r="BE23" s="1072">
        <f t="shared" si="2"/>
        <v>0</v>
      </c>
      <c r="BF23" s="1073">
        <f>BE23*('Ввод исходных данных'!$D$83-BC23)</f>
        <v>0</v>
      </c>
    </row>
    <row r="24" spans="2:58" ht="15.75" customHeight="1" x14ac:dyDescent="0.25">
      <c r="B24" s="1074" t="s">
        <v>13</v>
      </c>
      <c r="C24" s="1076" t="s">
        <v>20</v>
      </c>
      <c r="D24" s="1053" t="str">
        <f t="shared" si="0"/>
        <v>Амурская областьДамбуки</v>
      </c>
      <c r="E24" s="1054">
        <v>244</v>
      </c>
      <c r="F24" s="1055">
        <v>-14.3</v>
      </c>
      <c r="G24" s="1055">
        <v>-43</v>
      </c>
      <c r="H24" s="1057">
        <v>5.2</v>
      </c>
      <c r="I24" s="1058">
        <f>E24*('Ввод исходных данных'!$D$83-F24)</f>
        <v>7881.1999999999989</v>
      </c>
      <c r="J24" s="1059" t="str">
        <f t="shared" si="1"/>
        <v>7000-8000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156.80000000000001</v>
      </c>
      <c r="W24" s="1065">
        <v>-3.3</v>
      </c>
      <c r="X24" s="1065"/>
      <c r="Y24" s="1065">
        <f t="shared" si="6"/>
        <v>31</v>
      </c>
      <c r="Z24" s="1065">
        <f>Y24*('Ввод исходных данных'!$D$83-W24)</f>
        <v>660.30000000000007</v>
      </c>
      <c r="AA24" s="1066">
        <v>-18.8</v>
      </c>
      <c r="AB24" s="1066"/>
      <c r="AC24" s="1066">
        <f t="shared" si="7"/>
        <v>30</v>
      </c>
      <c r="AD24" s="1066">
        <f>AC24*('Ввод исходных данных'!$D$83-AA24)</f>
        <v>1104</v>
      </c>
      <c r="AE24" s="1067">
        <v>-28.9</v>
      </c>
      <c r="AF24" s="1067"/>
      <c r="AG24" s="1067">
        <v>31</v>
      </c>
      <c r="AH24" s="1067">
        <f>AG24*('Ввод исходных данных'!$D$83-AE24)</f>
        <v>1453.8999999999999</v>
      </c>
      <c r="AI24" s="1068">
        <v>-31.1</v>
      </c>
      <c r="AJ24" s="1068"/>
      <c r="AK24" s="1068">
        <v>31</v>
      </c>
      <c r="AL24" s="1068">
        <f>AK24*('Ввод исходных данных'!$D$83-AI24)</f>
        <v>1522.1000000000001</v>
      </c>
      <c r="AM24" s="1069">
        <v>-24.9</v>
      </c>
      <c r="AN24" s="1069"/>
      <c r="AO24" s="1069">
        <v>28</v>
      </c>
      <c r="AP24" s="1069">
        <f>AO24*('Ввод исходных данных'!$D$83-AM24)</f>
        <v>1201.2</v>
      </c>
      <c r="AQ24" s="1064">
        <v>-15.1</v>
      </c>
      <c r="AR24" s="1064"/>
      <c r="AS24" s="1064">
        <f t="shared" si="8"/>
        <v>31</v>
      </c>
      <c r="AT24" s="1064">
        <f>AS24*('Ввод исходных данных'!$D$83-AQ24)</f>
        <v>1026.1000000000001</v>
      </c>
      <c r="AU24" s="1070">
        <v>-1.9</v>
      </c>
      <c r="AV24" s="1070"/>
      <c r="AW24" s="1070">
        <f t="shared" si="9"/>
        <v>30</v>
      </c>
      <c r="AX24" s="1070">
        <f>AW24*('Ввод исходных данных'!$D$83-AU24)</f>
        <v>597</v>
      </c>
      <c r="AY24" s="1071">
        <v>7.5</v>
      </c>
      <c r="AZ24" s="1071"/>
      <c r="BA24" s="1071">
        <f t="shared" si="10"/>
        <v>16</v>
      </c>
      <c r="BB24" s="1071">
        <f>BA24*('Ввод исходных данных'!$D$83-AY24)</f>
        <v>168</v>
      </c>
      <c r="BC24" s="1072">
        <v>14.4</v>
      </c>
      <c r="BD24" s="1072"/>
      <c r="BE24" s="1072">
        <f t="shared" si="2"/>
        <v>0</v>
      </c>
      <c r="BF24" s="1073">
        <f>BE24*('Ввод исходных данных'!$D$83-BC24)</f>
        <v>0</v>
      </c>
    </row>
    <row r="25" spans="2:58" ht="15.75" customHeight="1" x14ac:dyDescent="0.25">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7521.5</v>
      </c>
      <c r="J25" s="1059" t="str">
        <f t="shared" si="1"/>
        <v>7000-8000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166.65</v>
      </c>
      <c r="W25" s="1065">
        <v>-3.4</v>
      </c>
      <c r="X25" s="1065"/>
      <c r="Y25" s="1065">
        <f t="shared" si="6"/>
        <v>31</v>
      </c>
      <c r="Z25" s="1065">
        <f>Y25*('Ввод исходных данных'!$D$83-W25)</f>
        <v>663.4</v>
      </c>
      <c r="AA25" s="1066">
        <v>-17.600000000000001</v>
      </c>
      <c r="AB25" s="1066"/>
      <c r="AC25" s="1066">
        <f t="shared" si="7"/>
        <v>30</v>
      </c>
      <c r="AD25" s="1066">
        <f>AC25*('Ввод исходных данных'!$D$83-AA25)</f>
        <v>1068</v>
      </c>
      <c r="AE25" s="1067">
        <v>-26.3</v>
      </c>
      <c r="AF25" s="1067"/>
      <c r="AG25" s="1067">
        <v>31</v>
      </c>
      <c r="AH25" s="1067">
        <f>AG25*('Ввод исходных данных'!$D$83-AE25)</f>
        <v>1373.3</v>
      </c>
      <c r="AI25" s="1068">
        <v>-27.6</v>
      </c>
      <c r="AJ25" s="1068"/>
      <c r="AK25" s="1068">
        <v>31</v>
      </c>
      <c r="AL25" s="1068">
        <f>AK25*('Ввод исходных данных'!$D$83-AI25)</f>
        <v>1413.6000000000001</v>
      </c>
      <c r="AM25" s="1069">
        <v>-22</v>
      </c>
      <c r="AN25" s="1069"/>
      <c r="AO25" s="1069">
        <v>28</v>
      </c>
      <c r="AP25" s="1069">
        <f>AO25*('Ввод исходных данных'!$D$83-AM25)</f>
        <v>1120</v>
      </c>
      <c r="AQ25" s="1064">
        <v>-13</v>
      </c>
      <c r="AR25" s="1064"/>
      <c r="AS25" s="1064">
        <f t="shared" si="8"/>
        <v>31</v>
      </c>
      <c r="AT25" s="1064">
        <f>AS25*('Ввод исходных данных'!$D$83-AQ25)</f>
        <v>961</v>
      </c>
      <c r="AU25" s="1070">
        <v>-1.2</v>
      </c>
      <c r="AV25" s="1070"/>
      <c r="AW25" s="1070">
        <f t="shared" si="9"/>
        <v>30</v>
      </c>
      <c r="AX25" s="1070">
        <f>AW25*('Ввод исходных данных'!$D$83-AU25)</f>
        <v>576</v>
      </c>
      <c r="AY25" s="1071">
        <v>7.5</v>
      </c>
      <c r="AZ25" s="1071"/>
      <c r="BA25" s="1071">
        <f t="shared" si="10"/>
        <v>16.5</v>
      </c>
      <c r="BB25" s="1071">
        <f>BA25*('Ввод исходных данных'!$D$83-AY25)</f>
        <v>173.25</v>
      </c>
      <c r="BC25" s="1072">
        <v>15</v>
      </c>
      <c r="BD25" s="1072"/>
      <c r="BE25" s="1072">
        <f t="shared" si="2"/>
        <v>0</v>
      </c>
      <c r="BF25" s="1073">
        <f>BE25*('Ввод исходных данных'!$D$83-BC25)</f>
        <v>0</v>
      </c>
    </row>
    <row r="26" spans="2:58" ht="15.75" customHeight="1" x14ac:dyDescent="0.25">
      <c r="B26" s="1074" t="s">
        <v>13</v>
      </c>
      <c r="C26" s="1076" t="s">
        <v>34</v>
      </c>
      <c r="D26" s="1053" t="str">
        <f t="shared" si="0"/>
        <v>Амурская областьЗавитинск</v>
      </c>
      <c r="E26" s="1054">
        <v>226</v>
      </c>
      <c r="F26" s="1055">
        <v>-11.8</v>
      </c>
      <c r="G26" s="1055">
        <v>-36</v>
      </c>
      <c r="H26" s="1057">
        <v>3.3</v>
      </c>
      <c r="I26" s="1058">
        <f>E26*('Ввод исходных данных'!$D$83-F26)</f>
        <v>6734.8</v>
      </c>
      <c r="J26" s="1059" t="str">
        <f t="shared" si="1"/>
        <v>6000-7000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46.899999999999991</v>
      </c>
      <c r="W26" s="1065">
        <v>1.1000000000000001</v>
      </c>
      <c r="X26" s="1065"/>
      <c r="Y26" s="1065">
        <f t="shared" si="6"/>
        <v>31</v>
      </c>
      <c r="Z26" s="1065">
        <f>Y26*('Ввод исходных данных'!$D$83-W26)</f>
        <v>523.9</v>
      </c>
      <c r="AA26" s="1066">
        <v>-13.4</v>
      </c>
      <c r="AB26" s="1066"/>
      <c r="AC26" s="1066">
        <f t="shared" si="7"/>
        <v>30</v>
      </c>
      <c r="AD26" s="1066">
        <f>AC26*('Ввод исходных данных'!$D$83-AA26)</f>
        <v>942</v>
      </c>
      <c r="AE26" s="1067">
        <v>-24</v>
      </c>
      <c r="AF26" s="1067"/>
      <c r="AG26" s="1067">
        <v>31</v>
      </c>
      <c r="AH26" s="1067">
        <f>AG26*('Ввод исходных данных'!$D$83-AE26)</f>
        <v>1302</v>
      </c>
      <c r="AI26" s="1068">
        <v>-26.9</v>
      </c>
      <c r="AJ26" s="1068"/>
      <c r="AK26" s="1068">
        <v>31</v>
      </c>
      <c r="AL26" s="1068">
        <f>AK26*('Ввод исходных данных'!$D$83-AI26)</f>
        <v>1391.8999999999999</v>
      </c>
      <c r="AM26" s="1069">
        <v>-20.9</v>
      </c>
      <c r="AN26" s="1069"/>
      <c r="AO26" s="1069">
        <v>28</v>
      </c>
      <c r="AP26" s="1069">
        <f>AO26*('Ввод исходных данных'!$D$83-AM26)</f>
        <v>1089.2</v>
      </c>
      <c r="AQ26" s="1064">
        <v>-11.6</v>
      </c>
      <c r="AR26" s="1064"/>
      <c r="AS26" s="1064">
        <f t="shared" si="8"/>
        <v>31</v>
      </c>
      <c r="AT26" s="1064">
        <f>AS26*('Ввод исходных данных'!$D$83-AQ26)</f>
        <v>917.6</v>
      </c>
      <c r="AU26" s="1070">
        <v>1.3</v>
      </c>
      <c r="AV26" s="1070"/>
      <c r="AW26" s="1070">
        <f t="shared" si="9"/>
        <v>30</v>
      </c>
      <c r="AX26" s="1070">
        <f>AW26*('Ввод исходных данных'!$D$83-AU26)</f>
        <v>501</v>
      </c>
      <c r="AY26" s="1071">
        <v>9.6999999999999993</v>
      </c>
      <c r="AZ26" s="1071"/>
      <c r="BA26" s="1071">
        <f t="shared" si="10"/>
        <v>7</v>
      </c>
      <c r="BB26" s="1071">
        <f>BA26*('Ввод исходных данных'!$D$83-AY26)</f>
        <v>58.100000000000009</v>
      </c>
      <c r="BC26" s="1072">
        <v>16.7</v>
      </c>
      <c r="BD26" s="1072"/>
      <c r="BE26" s="1072">
        <f t="shared" si="2"/>
        <v>0</v>
      </c>
      <c r="BF26" s="1073">
        <f>BE26*('Ввод исходных данных'!$D$83-BC26)</f>
        <v>0</v>
      </c>
    </row>
    <row r="27" spans="2:58" ht="15.75" customHeight="1" x14ac:dyDescent="0.25">
      <c r="B27" s="1051" t="s">
        <v>13</v>
      </c>
      <c r="C27" s="1052" t="s">
        <v>35</v>
      </c>
      <c r="D27" s="1053" t="str">
        <f t="shared" si="0"/>
        <v>Амурская областьЗея</v>
      </c>
      <c r="E27" s="1054">
        <v>238</v>
      </c>
      <c r="F27" s="1055">
        <v>-13.8</v>
      </c>
      <c r="G27" s="1055">
        <v>-42</v>
      </c>
      <c r="H27" s="1057">
        <v>3.5</v>
      </c>
      <c r="I27" s="1058">
        <f>E27*('Ввод исходных данных'!$D$83-F27)</f>
        <v>7568.4000000000005</v>
      </c>
      <c r="J27" s="1059" t="str">
        <f t="shared" si="1"/>
        <v>7000-8000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117</v>
      </c>
      <c r="W27" s="1065">
        <v>-2.4</v>
      </c>
      <c r="X27" s="1065"/>
      <c r="Y27" s="1065">
        <f t="shared" si="6"/>
        <v>31</v>
      </c>
      <c r="Z27" s="1065">
        <f>Y27*('Ввод исходных данных'!$D$83-W27)</f>
        <v>632.4</v>
      </c>
      <c r="AA27" s="1066">
        <v>-17.8</v>
      </c>
      <c r="AB27" s="1066"/>
      <c r="AC27" s="1066">
        <f t="shared" si="7"/>
        <v>30</v>
      </c>
      <c r="AD27" s="1066">
        <f>AC27*('Ввод исходных данных'!$D$83-AA27)</f>
        <v>1074</v>
      </c>
      <c r="AE27" s="1067">
        <v>-28</v>
      </c>
      <c r="AF27" s="1067"/>
      <c r="AG27" s="1067">
        <v>31</v>
      </c>
      <c r="AH27" s="1067">
        <f>AG27*('Ввод исходных данных'!$D$83-AE27)</f>
        <v>1426</v>
      </c>
      <c r="AI27" s="1068">
        <v>-30.1</v>
      </c>
      <c r="AJ27" s="1068"/>
      <c r="AK27" s="1068">
        <v>31</v>
      </c>
      <c r="AL27" s="1068">
        <f>AK27*('Ввод исходных данных'!$D$83-AI27)</f>
        <v>1491.1000000000001</v>
      </c>
      <c r="AM27" s="1069">
        <v>-23.8</v>
      </c>
      <c r="AN27" s="1069"/>
      <c r="AO27" s="1069">
        <v>28</v>
      </c>
      <c r="AP27" s="1069">
        <f>AO27*('Ввод исходных данных'!$D$83-AM27)</f>
        <v>1170.3999999999999</v>
      </c>
      <c r="AQ27" s="1064">
        <v>-13.6</v>
      </c>
      <c r="AR27" s="1064"/>
      <c r="AS27" s="1064">
        <f t="shared" si="8"/>
        <v>31</v>
      </c>
      <c r="AT27" s="1064">
        <f>AS27*('Ввод исходных данных'!$D$83-AQ27)</f>
        <v>979.6</v>
      </c>
      <c r="AU27" s="1070">
        <v>-0.6</v>
      </c>
      <c r="AV27" s="1070"/>
      <c r="AW27" s="1070">
        <f t="shared" si="9"/>
        <v>30</v>
      </c>
      <c r="AX27" s="1070">
        <f>AW27*('Ввод исходных данных'!$D$83-AU27)</f>
        <v>558</v>
      </c>
      <c r="AY27" s="1071">
        <v>8.4</v>
      </c>
      <c r="AZ27" s="1071"/>
      <c r="BA27" s="1071">
        <f t="shared" si="10"/>
        <v>13</v>
      </c>
      <c r="BB27" s="1071">
        <f>BA27*('Ввод исходных данных'!$D$83-AY27)</f>
        <v>124.8</v>
      </c>
      <c r="BC27" s="1072">
        <v>15.3</v>
      </c>
      <c r="BD27" s="1072"/>
      <c r="BE27" s="1072">
        <f t="shared" si="2"/>
        <v>0</v>
      </c>
      <c r="BF27" s="1073">
        <f>BE27*('Ввод исходных данных'!$D$83-BC27)</f>
        <v>0</v>
      </c>
    </row>
    <row r="28" spans="2:58" ht="15.75" customHeight="1" x14ac:dyDescent="0.25">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7493.5999999999995</v>
      </c>
      <c r="J28" s="1059" t="str">
        <f t="shared" si="1"/>
        <v>7000-8000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81</v>
      </c>
      <c r="W28" s="1065">
        <v>-0.3</v>
      </c>
      <c r="X28" s="1065"/>
      <c r="Y28" s="1065">
        <f t="shared" si="6"/>
        <v>31</v>
      </c>
      <c r="Z28" s="1065">
        <f>Y28*('Ввод исходных данных'!$D$83-W28)</f>
        <v>567.30000000000007</v>
      </c>
      <c r="AA28" s="1066">
        <v>-16.8</v>
      </c>
      <c r="AB28" s="1066"/>
      <c r="AC28" s="1066">
        <f t="shared" si="7"/>
        <v>30</v>
      </c>
      <c r="AD28" s="1066">
        <f>AC28*('Ввод исходных данных'!$D$83-AA28)</f>
        <v>1044</v>
      </c>
      <c r="AE28" s="1067">
        <v>-29</v>
      </c>
      <c r="AF28" s="1067"/>
      <c r="AG28" s="1067">
        <v>31</v>
      </c>
      <c r="AH28" s="1067">
        <f>AG28*('Ввод исходных данных'!$D$83-AE28)</f>
        <v>1457</v>
      </c>
      <c r="AI28" s="1068">
        <v>-31.8</v>
      </c>
      <c r="AJ28" s="1068"/>
      <c r="AK28" s="1068">
        <v>31</v>
      </c>
      <c r="AL28" s="1068">
        <f>AK28*('Ввод исходных данных'!$D$83-AI28)</f>
        <v>1543.8</v>
      </c>
      <c r="AM28" s="1069">
        <v>-25.1</v>
      </c>
      <c r="AN28" s="1069"/>
      <c r="AO28" s="1069">
        <v>28</v>
      </c>
      <c r="AP28" s="1069">
        <f>AO28*('Ввод исходных данных'!$D$83-AM28)</f>
        <v>1206.8</v>
      </c>
      <c r="AQ28" s="1064">
        <v>-13.3</v>
      </c>
      <c r="AR28" s="1064"/>
      <c r="AS28" s="1064">
        <f t="shared" si="8"/>
        <v>31</v>
      </c>
      <c r="AT28" s="1064">
        <f>AS28*('Ввод исходных данных'!$D$83-AQ28)</f>
        <v>970.30000000000007</v>
      </c>
      <c r="AU28" s="1070">
        <v>0.2</v>
      </c>
      <c r="AV28" s="1070"/>
      <c r="AW28" s="1070">
        <f t="shared" si="9"/>
        <v>30</v>
      </c>
      <c r="AX28" s="1070">
        <f>AW28*('Ввод исходных данных'!$D$83-AU28)</f>
        <v>534</v>
      </c>
      <c r="AY28" s="1071">
        <v>9.4</v>
      </c>
      <c r="AZ28" s="1071"/>
      <c r="BA28" s="1071">
        <f t="shared" si="10"/>
        <v>10</v>
      </c>
      <c r="BB28" s="1071">
        <f>BA28*('Ввод исходных данных'!$D$83-AY28)</f>
        <v>86</v>
      </c>
      <c r="BC28" s="1072">
        <v>16</v>
      </c>
      <c r="BD28" s="1072"/>
      <c r="BE28" s="1072">
        <f t="shared" si="2"/>
        <v>0</v>
      </c>
      <c r="BF28" s="1073">
        <f>BE28*('Ввод исходных данных'!$D$83-BC28)</f>
        <v>0</v>
      </c>
    </row>
    <row r="29" spans="2:58" ht="15.75" customHeight="1" x14ac:dyDescent="0.25">
      <c r="B29" s="1051" t="s">
        <v>13</v>
      </c>
      <c r="C29" s="1052" t="s">
        <v>24</v>
      </c>
      <c r="D29" s="1053" t="str">
        <f t="shared" si="0"/>
        <v>Амурская областьОгорон</v>
      </c>
      <c r="E29" s="1054">
        <v>247</v>
      </c>
      <c r="F29" s="1055">
        <v>-13.3</v>
      </c>
      <c r="G29" s="1055">
        <v>-40</v>
      </c>
      <c r="H29" s="1057">
        <v>3.2</v>
      </c>
      <c r="I29" s="1058">
        <f>E29*('Ввод исходных данных'!$D$83-F29)</f>
        <v>7731.1</v>
      </c>
      <c r="J29" s="1059" t="str">
        <f t="shared" si="1"/>
        <v>7000-8000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175</v>
      </c>
      <c r="W29" s="1065">
        <v>-3.3</v>
      </c>
      <c r="X29" s="1065"/>
      <c r="Y29" s="1065">
        <f t="shared" si="6"/>
        <v>31</v>
      </c>
      <c r="Z29" s="1065">
        <f>Y29*('Ввод исходных данных'!$D$83-W29)</f>
        <v>660.30000000000007</v>
      </c>
      <c r="AA29" s="1066">
        <v>-18</v>
      </c>
      <c r="AB29" s="1066"/>
      <c r="AC29" s="1066">
        <f t="shared" si="7"/>
        <v>30</v>
      </c>
      <c r="AD29" s="1066">
        <f>AC29*('Ввод исходных данных'!$D$83-AA29)</f>
        <v>1080</v>
      </c>
      <c r="AE29" s="1067">
        <v>-27.3</v>
      </c>
      <c r="AF29" s="1067"/>
      <c r="AG29" s="1067">
        <v>31</v>
      </c>
      <c r="AH29" s="1067">
        <f>AG29*('Ввод исходных данных'!$D$83-AE29)</f>
        <v>1404.3</v>
      </c>
      <c r="AI29" s="1068">
        <v>-29.3</v>
      </c>
      <c r="AJ29" s="1068"/>
      <c r="AK29" s="1068">
        <v>31</v>
      </c>
      <c r="AL29" s="1068">
        <f>AK29*('Ввод исходных данных'!$D$83-AI29)</f>
        <v>1466.3</v>
      </c>
      <c r="AM29" s="1069">
        <v>-23.1</v>
      </c>
      <c r="AN29" s="1069"/>
      <c r="AO29" s="1069">
        <v>28</v>
      </c>
      <c r="AP29" s="1069">
        <f>AO29*('Ввод исходных данных'!$D$83-AM29)</f>
        <v>1150.8</v>
      </c>
      <c r="AQ29" s="1064">
        <v>-13.9</v>
      </c>
      <c r="AR29" s="1064"/>
      <c r="AS29" s="1064">
        <f t="shared" si="8"/>
        <v>31</v>
      </c>
      <c r="AT29" s="1064">
        <f>AS29*('Ввод исходных данных'!$D$83-AQ29)</f>
        <v>988.9</v>
      </c>
      <c r="AU29" s="1070">
        <v>2.2999999999999998</v>
      </c>
      <c r="AV29" s="1070"/>
      <c r="AW29" s="1070">
        <f t="shared" si="9"/>
        <v>30</v>
      </c>
      <c r="AX29" s="1070">
        <f>AW29*('Ввод исходных данных'!$D$83-AU29)</f>
        <v>471</v>
      </c>
      <c r="AY29" s="1071">
        <v>7</v>
      </c>
      <c r="AZ29" s="1071"/>
      <c r="BA29" s="1071">
        <f t="shared" si="10"/>
        <v>17.5</v>
      </c>
      <c r="BB29" s="1071">
        <f>BA29*('Ввод исходных данных'!$D$83-AY29)</f>
        <v>192.5</v>
      </c>
      <c r="BC29" s="1072">
        <v>13.8</v>
      </c>
      <c r="BD29" s="1072"/>
      <c r="BE29" s="1072">
        <f t="shared" si="2"/>
        <v>0</v>
      </c>
      <c r="BF29" s="1073">
        <f>BE29*('Ввод исходных данных'!$D$83-BC29)</f>
        <v>0</v>
      </c>
    </row>
    <row r="30" spans="2:58" ht="15.75" customHeight="1" x14ac:dyDescent="0.25">
      <c r="B30" s="1074" t="s">
        <v>13</v>
      </c>
      <c r="C30" s="1076" t="s">
        <v>25</v>
      </c>
      <c r="D30" s="1053" t="str">
        <f t="shared" si="0"/>
        <v>Амурская областьПоярково</v>
      </c>
      <c r="E30" s="1054">
        <v>222</v>
      </c>
      <c r="F30" s="1055">
        <v>-11.9</v>
      </c>
      <c r="G30" s="1055">
        <v>-37</v>
      </c>
      <c r="H30" s="1057">
        <v>3.4</v>
      </c>
      <c r="I30" s="1058">
        <f>E30*('Ввод исходных данных'!$D$83-F30)</f>
        <v>6637.7999999999993</v>
      </c>
      <c r="J30" s="1059" t="str">
        <f t="shared" si="1"/>
        <v>6000-7000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30.5</v>
      </c>
      <c r="W30" s="1065">
        <v>1.8</v>
      </c>
      <c r="X30" s="1065"/>
      <c r="Y30" s="1065">
        <f t="shared" si="6"/>
        <v>31</v>
      </c>
      <c r="Z30" s="1065">
        <f>Y30*('Ввод исходных данных'!$D$83-W30)</f>
        <v>502.2</v>
      </c>
      <c r="AA30" s="1066">
        <v>-12.4</v>
      </c>
      <c r="AB30" s="1066"/>
      <c r="AC30" s="1066">
        <f t="shared" si="7"/>
        <v>30</v>
      </c>
      <c r="AD30" s="1066">
        <f>AC30*('Ввод исходных данных'!$D$83-AA30)</f>
        <v>912</v>
      </c>
      <c r="AE30" s="1067">
        <v>-23.7</v>
      </c>
      <c r="AF30" s="1067"/>
      <c r="AG30" s="1067">
        <v>31</v>
      </c>
      <c r="AH30" s="1067">
        <f>AG30*('Ввод исходных данных'!$D$83-AE30)</f>
        <v>1292.7</v>
      </c>
      <c r="AI30" s="1068">
        <v>-26.9</v>
      </c>
      <c r="AJ30" s="1068"/>
      <c r="AK30" s="1068">
        <v>31</v>
      </c>
      <c r="AL30" s="1068">
        <f>AK30*('Ввод исходных данных'!$D$83-AI30)</f>
        <v>1391.8999999999999</v>
      </c>
      <c r="AM30" s="1069">
        <v>-21.6</v>
      </c>
      <c r="AN30" s="1069"/>
      <c r="AO30" s="1069">
        <v>28</v>
      </c>
      <c r="AP30" s="1069">
        <f>AO30*('Ввод исходных данных'!$D$83-AM30)</f>
        <v>1108.8</v>
      </c>
      <c r="AQ30" s="1064">
        <v>-11.5</v>
      </c>
      <c r="AR30" s="1064"/>
      <c r="AS30" s="1064">
        <f t="shared" si="8"/>
        <v>31</v>
      </c>
      <c r="AT30" s="1064">
        <f>AS30*('Ввод исходных данных'!$D$83-AQ30)</f>
        <v>914.5</v>
      </c>
      <c r="AU30" s="1070">
        <v>2.1</v>
      </c>
      <c r="AV30" s="1070"/>
      <c r="AW30" s="1070">
        <f t="shared" si="9"/>
        <v>30</v>
      </c>
      <c r="AX30" s="1070">
        <f>AW30*('Ввод исходных данных'!$D$83-AU30)</f>
        <v>477</v>
      </c>
      <c r="AY30" s="1071">
        <v>10.4</v>
      </c>
      <c r="AZ30" s="1071"/>
      <c r="BA30" s="1071">
        <f t="shared" si="10"/>
        <v>5</v>
      </c>
      <c r="BB30" s="1071">
        <f>BA30*('Ввод исходных данных'!$D$83-AY30)</f>
        <v>38</v>
      </c>
      <c r="BC30" s="1072">
        <v>17.100000000000001</v>
      </c>
      <c r="BD30" s="1072"/>
      <c r="BE30" s="1072">
        <f t="shared" si="2"/>
        <v>0</v>
      </c>
      <c r="BF30" s="1073">
        <f>BE30*('Ввод исходных данных'!$D$83-BC30)</f>
        <v>0</v>
      </c>
    </row>
    <row r="31" spans="2:58" ht="15.75" customHeight="1" x14ac:dyDescent="0.25">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6961.5999999999995</v>
      </c>
      <c r="J31" s="1059" t="str">
        <f t="shared" si="1"/>
        <v>6000-7000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62.900000000000006</v>
      </c>
      <c r="W31" s="1065">
        <v>0</v>
      </c>
      <c r="X31" s="1065"/>
      <c r="Y31" s="1065">
        <f t="shared" si="6"/>
        <v>31</v>
      </c>
      <c r="Z31" s="1065">
        <f>Y31*('Ввод исходных данных'!$D$83-W31)</f>
        <v>558</v>
      </c>
      <c r="AA31" s="1066">
        <v>-14.9</v>
      </c>
      <c r="AB31" s="1066"/>
      <c r="AC31" s="1066">
        <f t="shared" si="7"/>
        <v>30</v>
      </c>
      <c r="AD31" s="1066">
        <f>AC31*('Ввод исходных данных'!$D$83-AA31)</f>
        <v>987</v>
      </c>
      <c r="AE31" s="1067">
        <v>-25.4</v>
      </c>
      <c r="AF31" s="1067"/>
      <c r="AG31" s="1067">
        <v>31</v>
      </c>
      <c r="AH31" s="1067">
        <f>AG31*('Ввод исходных данных'!$D$83-AE31)</f>
        <v>1345.3999999999999</v>
      </c>
      <c r="AI31" s="1068">
        <v>-27.7</v>
      </c>
      <c r="AJ31" s="1068"/>
      <c r="AK31" s="1068">
        <v>31</v>
      </c>
      <c r="AL31" s="1068">
        <f>AK31*('Ввод исходных данных'!$D$83-AI31)</f>
        <v>1416.7</v>
      </c>
      <c r="AM31" s="1069">
        <v>-21.6</v>
      </c>
      <c r="AN31" s="1069"/>
      <c r="AO31" s="1069">
        <v>28</v>
      </c>
      <c r="AP31" s="1069">
        <f>AO31*('Ввод исходных данных'!$D$83-AM31)</f>
        <v>1108.8</v>
      </c>
      <c r="AQ31" s="1064">
        <v>-12.1</v>
      </c>
      <c r="AR31" s="1064"/>
      <c r="AS31" s="1064">
        <f t="shared" si="8"/>
        <v>31</v>
      </c>
      <c r="AT31" s="1064">
        <f>AS31*('Ввод исходных данных'!$D$83-AQ31)</f>
        <v>933.1</v>
      </c>
      <c r="AU31" s="1070">
        <v>1</v>
      </c>
      <c r="AV31" s="1070"/>
      <c r="AW31" s="1070">
        <f t="shared" si="9"/>
        <v>30</v>
      </c>
      <c r="AX31" s="1070">
        <f>AW31*('Ввод исходных данных'!$D$83-AU31)</f>
        <v>510</v>
      </c>
      <c r="AY31" s="1071">
        <v>9.6</v>
      </c>
      <c r="AZ31" s="1071"/>
      <c r="BA31" s="1071">
        <f t="shared" si="10"/>
        <v>8.5</v>
      </c>
      <c r="BB31" s="1071">
        <f>BA31*('Ввод исходных данных'!$D$83-AY31)</f>
        <v>71.400000000000006</v>
      </c>
      <c r="BC31" s="1072">
        <v>16.600000000000001</v>
      </c>
      <c r="BD31" s="1072"/>
      <c r="BE31" s="1072">
        <f t="shared" si="2"/>
        <v>0</v>
      </c>
      <c r="BF31" s="1073">
        <f>BE31*('Ввод исходных данных'!$D$83-BC31)</f>
        <v>0</v>
      </c>
    </row>
    <row r="32" spans="2:58" ht="15.75" customHeight="1" x14ac:dyDescent="0.25">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7766.5</v>
      </c>
      <c r="J32" s="1059" t="str">
        <f t="shared" si="1"/>
        <v>7000-8000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178.20000000000002</v>
      </c>
      <c r="W32" s="1065">
        <v>-3.6</v>
      </c>
      <c r="X32" s="1065"/>
      <c r="Y32" s="1065">
        <f t="shared" si="6"/>
        <v>31</v>
      </c>
      <c r="Z32" s="1065">
        <f>Y32*('Ввод исходных данных'!$D$83-W32)</f>
        <v>669.6</v>
      </c>
      <c r="AA32" s="1066">
        <v>-18.7</v>
      </c>
      <c r="AB32" s="1066"/>
      <c r="AC32" s="1066">
        <f t="shared" si="7"/>
        <v>30</v>
      </c>
      <c r="AD32" s="1066">
        <f>AC32*('Ввод исходных данных'!$D$83-AA32)</f>
        <v>1101</v>
      </c>
      <c r="AE32" s="1067">
        <v>-27.1</v>
      </c>
      <c r="AF32" s="1067"/>
      <c r="AG32" s="1067">
        <v>31</v>
      </c>
      <c r="AH32" s="1067">
        <f>AG32*('Ввод исходных данных'!$D$83-AE32)</f>
        <v>1398.1000000000001</v>
      </c>
      <c r="AI32" s="1068">
        <v>-27.6</v>
      </c>
      <c r="AJ32" s="1068"/>
      <c r="AK32" s="1068">
        <v>31</v>
      </c>
      <c r="AL32" s="1068">
        <f>AK32*('Ввод исходных данных'!$D$83-AI32)</f>
        <v>1413.6000000000001</v>
      </c>
      <c r="AM32" s="1069">
        <v>-23.3</v>
      </c>
      <c r="AN32" s="1069"/>
      <c r="AO32" s="1069">
        <v>28</v>
      </c>
      <c r="AP32" s="1069">
        <f>AO32*('Ввод исходных данных'!$D$83-AM32)</f>
        <v>1156.3999999999999</v>
      </c>
      <c r="AQ32" s="1064">
        <v>-13.3</v>
      </c>
      <c r="AR32" s="1064"/>
      <c r="AS32" s="1064">
        <f t="shared" si="8"/>
        <v>31</v>
      </c>
      <c r="AT32" s="1064">
        <f>AS32*('Ввод исходных данных'!$D$83-AQ32)</f>
        <v>970.30000000000007</v>
      </c>
      <c r="AU32" s="1070">
        <v>-0.6</v>
      </c>
      <c r="AV32" s="1070"/>
      <c r="AW32" s="1070">
        <f t="shared" si="9"/>
        <v>30</v>
      </c>
      <c r="AX32" s="1070">
        <f>AW32*('Ввод исходных данных'!$D$83-AU32)</f>
        <v>558</v>
      </c>
      <c r="AY32" s="1071">
        <v>8.4</v>
      </c>
      <c r="AZ32" s="1071"/>
      <c r="BA32" s="1071">
        <f t="shared" si="10"/>
        <v>16.5</v>
      </c>
      <c r="BB32" s="1071">
        <f>BA32*('Ввод исходных данных'!$D$83-AY32)</f>
        <v>158.4</v>
      </c>
      <c r="BC32" s="1072">
        <v>15.1</v>
      </c>
      <c r="BD32" s="1072"/>
      <c r="BE32" s="1072">
        <f t="shared" si="2"/>
        <v>0</v>
      </c>
      <c r="BF32" s="1073">
        <f>BE32*('Ввод исходных данных'!$D$83-BC32)</f>
        <v>0</v>
      </c>
    </row>
    <row r="33" spans="2:58" ht="15.75" customHeight="1" x14ac:dyDescent="0.25">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8934.2000000000007</v>
      </c>
      <c r="J33" s="1059" t="str">
        <f t="shared" si="1"/>
        <v>8000-9000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307.5</v>
      </c>
      <c r="W33" s="1065">
        <v>-6.6</v>
      </c>
      <c r="X33" s="1065"/>
      <c r="Y33" s="1065">
        <f t="shared" si="6"/>
        <v>31</v>
      </c>
      <c r="Z33" s="1065">
        <f>Y33*('Ввод исходных данных'!$D$83-W33)</f>
        <v>762.6</v>
      </c>
      <c r="AA33" s="1066">
        <v>-22.9</v>
      </c>
      <c r="AB33" s="1066"/>
      <c r="AC33" s="1066">
        <f t="shared" si="7"/>
        <v>30</v>
      </c>
      <c r="AD33" s="1066">
        <f>AC33*('Ввод исходных данных'!$D$83-AA33)</f>
        <v>1227</v>
      </c>
      <c r="AE33" s="1067">
        <v>-32.9</v>
      </c>
      <c r="AF33" s="1067"/>
      <c r="AG33" s="1067">
        <v>31</v>
      </c>
      <c r="AH33" s="1067">
        <f>AG33*('Ввод исходных данных'!$D$83-AE33)</f>
        <v>1577.8999999999999</v>
      </c>
      <c r="AI33" s="1068">
        <v>-34.700000000000003</v>
      </c>
      <c r="AJ33" s="1068"/>
      <c r="AK33" s="1068">
        <v>31</v>
      </c>
      <c r="AL33" s="1068">
        <f>AK33*('Ввод исходных данных'!$D$83-AI33)</f>
        <v>1633.7</v>
      </c>
      <c r="AM33" s="1069">
        <v>-28.9</v>
      </c>
      <c r="AN33" s="1069"/>
      <c r="AO33" s="1069">
        <v>28</v>
      </c>
      <c r="AP33" s="1069">
        <f>AO33*('Ввод исходных данных'!$D$83-AM33)</f>
        <v>1313.2</v>
      </c>
      <c r="AQ33" s="1064">
        <v>-18.399999999999999</v>
      </c>
      <c r="AR33" s="1064"/>
      <c r="AS33" s="1064">
        <f t="shared" si="8"/>
        <v>31</v>
      </c>
      <c r="AT33" s="1064">
        <f>AS33*('Ввод исходных данных'!$D$83-AQ33)</f>
        <v>1128.3999999999999</v>
      </c>
      <c r="AU33" s="1070">
        <v>-5.4</v>
      </c>
      <c r="AV33" s="1070"/>
      <c r="AW33" s="1070">
        <f t="shared" si="9"/>
        <v>30</v>
      </c>
      <c r="AX33" s="1070">
        <f>AW33*('Ввод исходных данных'!$D$83-AU33)</f>
        <v>702</v>
      </c>
      <c r="AY33" s="1071">
        <v>5.3</v>
      </c>
      <c r="AZ33" s="1071"/>
      <c r="BA33" s="1071">
        <f t="shared" si="10"/>
        <v>25</v>
      </c>
      <c r="BB33" s="1071">
        <f>BA33*('Ввод исходных данных'!$D$83-AY33)</f>
        <v>317.5</v>
      </c>
      <c r="BC33" s="1072">
        <v>13.2</v>
      </c>
      <c r="BD33" s="1072"/>
      <c r="BE33" s="1072">
        <f t="shared" si="2"/>
        <v>0</v>
      </c>
      <c r="BF33" s="1073">
        <f>BE33*('Ввод исходных данных'!$D$83-BC33)</f>
        <v>0</v>
      </c>
    </row>
    <row r="34" spans="2:58" ht="15.75" customHeight="1" x14ac:dyDescent="0.25">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7448</v>
      </c>
      <c r="J34" s="1059" t="str">
        <f t="shared" si="1"/>
        <v>7000-8000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166.65</v>
      </c>
      <c r="W34" s="1065">
        <v>-3.4</v>
      </c>
      <c r="X34" s="1065"/>
      <c r="Y34" s="1065">
        <f t="shared" si="6"/>
        <v>31</v>
      </c>
      <c r="Z34" s="1065">
        <f>Y34*('Ввод исходных данных'!$D$83-W34)</f>
        <v>663.4</v>
      </c>
      <c r="AA34" s="1066">
        <v>-17.2</v>
      </c>
      <c r="AB34" s="1066"/>
      <c r="AC34" s="1066">
        <f t="shared" si="7"/>
        <v>30</v>
      </c>
      <c r="AD34" s="1066">
        <f>AC34*('Ввод исходных данных'!$D$83-AA34)</f>
        <v>1056</v>
      </c>
      <c r="AE34" s="1067">
        <v>-25.2</v>
      </c>
      <c r="AF34" s="1067"/>
      <c r="AG34" s="1067">
        <v>31</v>
      </c>
      <c r="AH34" s="1067">
        <f>AG34*('Ввод исходных данных'!$D$83-AE34)</f>
        <v>1339.2</v>
      </c>
      <c r="AI34" s="1068">
        <v>-26.4</v>
      </c>
      <c r="AJ34" s="1068"/>
      <c r="AK34" s="1068">
        <v>31</v>
      </c>
      <c r="AL34" s="1068">
        <f>AK34*('Ввод исходных данных'!$D$83-AI34)</f>
        <v>1376.3999999999999</v>
      </c>
      <c r="AM34" s="1069">
        <v>-21.6</v>
      </c>
      <c r="AN34" s="1069"/>
      <c r="AO34" s="1069">
        <v>28</v>
      </c>
      <c r="AP34" s="1069">
        <f>AO34*('Ввод исходных данных'!$D$83-AM34)</f>
        <v>1108.8</v>
      </c>
      <c r="AQ34" s="1064">
        <v>-13.4</v>
      </c>
      <c r="AR34" s="1064"/>
      <c r="AS34" s="1064">
        <f t="shared" si="8"/>
        <v>31</v>
      </c>
      <c r="AT34" s="1064">
        <f>AS34*('Ввод исходных данных'!$D$83-AQ34)</f>
        <v>973.4</v>
      </c>
      <c r="AU34" s="1070">
        <v>-1.5</v>
      </c>
      <c r="AV34" s="1070"/>
      <c r="AW34" s="1070">
        <f t="shared" si="9"/>
        <v>30</v>
      </c>
      <c r="AX34" s="1070">
        <f>AW34*('Ввод исходных данных'!$D$83-AU34)</f>
        <v>585</v>
      </c>
      <c r="AY34" s="1071">
        <v>7.5</v>
      </c>
      <c r="AZ34" s="1071"/>
      <c r="BA34" s="1071">
        <f t="shared" si="10"/>
        <v>16.5</v>
      </c>
      <c r="BB34" s="1071">
        <f>BA34*('Ввод исходных данных'!$D$83-AY34)</f>
        <v>173.25</v>
      </c>
      <c r="BC34" s="1072">
        <v>14.6</v>
      </c>
      <c r="BD34" s="1072"/>
      <c r="BE34" s="1072">
        <f t="shared" si="2"/>
        <v>0</v>
      </c>
      <c r="BF34" s="1073">
        <f>BE34*('Ввод исходных данных'!$D$83-BC34)</f>
        <v>0</v>
      </c>
    </row>
    <row r="35" spans="2:58" ht="15.75" customHeight="1" x14ac:dyDescent="0.25">
      <c r="B35" s="1051" t="s">
        <v>13</v>
      </c>
      <c r="C35" s="1052" t="s">
        <v>31</v>
      </c>
      <c r="D35" s="1053" t="str">
        <f t="shared" si="0"/>
        <v>Амурская областьТында</v>
      </c>
      <c r="E35" s="1054">
        <v>258</v>
      </c>
      <c r="F35" s="1055">
        <v>-14.7</v>
      </c>
      <c r="G35" s="1055">
        <v>-42</v>
      </c>
      <c r="H35" s="1057">
        <v>5.3</v>
      </c>
      <c r="I35" s="1058">
        <f>E35*('Ввод исходных данных'!$D$83-F35)</f>
        <v>8436.6</v>
      </c>
      <c r="J35" s="1059" t="str">
        <f t="shared" si="1"/>
        <v>8000-9000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269.09999999999997</v>
      </c>
      <c r="W35" s="1065">
        <v>-5.7</v>
      </c>
      <c r="X35" s="1065"/>
      <c r="Y35" s="1065">
        <f t="shared" si="6"/>
        <v>31</v>
      </c>
      <c r="Z35" s="1065">
        <f>Y35*('Ввод исходных данных'!$D$83-W35)</f>
        <v>734.69999999999993</v>
      </c>
      <c r="AA35" s="1066">
        <v>-21.5</v>
      </c>
      <c r="AB35" s="1066"/>
      <c r="AC35" s="1066">
        <f t="shared" si="7"/>
        <v>30</v>
      </c>
      <c r="AD35" s="1066">
        <f>AC35*('Ввод исходных данных'!$D$83-AA35)</f>
        <v>1185</v>
      </c>
      <c r="AE35" s="1067">
        <v>-30.2</v>
      </c>
      <c r="AF35" s="1067"/>
      <c r="AG35" s="1067">
        <v>31</v>
      </c>
      <c r="AH35" s="1067">
        <f>AG35*('Ввод исходных данных'!$D$83-AE35)</f>
        <v>1494.2</v>
      </c>
      <c r="AI35" s="1068">
        <v>-31.7</v>
      </c>
      <c r="AJ35" s="1068"/>
      <c r="AK35" s="1068">
        <v>31</v>
      </c>
      <c r="AL35" s="1068">
        <f>AK35*('Ввод исходных данных'!$D$83-AI35)</f>
        <v>1540.7</v>
      </c>
      <c r="AM35" s="1069">
        <v>-25.9</v>
      </c>
      <c r="AN35" s="1069"/>
      <c r="AO35" s="1069">
        <v>28</v>
      </c>
      <c r="AP35" s="1069">
        <f>AO35*('Ввод исходных данных'!$D$83-AM35)</f>
        <v>1229.2</v>
      </c>
      <c r="AQ35" s="1064">
        <v>-16.2</v>
      </c>
      <c r="AR35" s="1064"/>
      <c r="AS35" s="1064">
        <f t="shared" si="8"/>
        <v>31</v>
      </c>
      <c r="AT35" s="1064">
        <f>AS35*('Ввод исходных данных'!$D$83-AQ35)</f>
        <v>1060.2</v>
      </c>
      <c r="AU35" s="1070">
        <v>-3.8</v>
      </c>
      <c r="AV35" s="1070"/>
      <c r="AW35" s="1070">
        <f t="shared" si="9"/>
        <v>30</v>
      </c>
      <c r="AX35" s="1070">
        <f>AW35*('Ввод исходных данных'!$D$83-AU35)</f>
        <v>654</v>
      </c>
      <c r="AY35" s="1071">
        <v>6</v>
      </c>
      <c r="AZ35" s="1071"/>
      <c r="BA35" s="1071">
        <f t="shared" si="10"/>
        <v>23</v>
      </c>
      <c r="BB35" s="1071">
        <f>BA35*('Ввод исходных данных'!$D$83-AY35)</f>
        <v>276</v>
      </c>
      <c r="BC35" s="1072">
        <v>13.4</v>
      </c>
      <c r="BD35" s="1072"/>
      <c r="BE35" s="1072">
        <f t="shared" si="2"/>
        <v>0</v>
      </c>
      <c r="BF35" s="1073">
        <f>BE35*('Ввод исходных данных'!$D$83-BC35)</f>
        <v>0</v>
      </c>
    </row>
    <row r="36" spans="2:58" ht="15.75" customHeight="1" x14ac:dyDescent="0.25">
      <c r="B36" s="1074" t="s">
        <v>13</v>
      </c>
      <c r="C36" s="1076" t="s">
        <v>32</v>
      </c>
      <c r="D36" s="1053" t="str">
        <f t="shared" si="0"/>
        <v>Амурская областьУнаха</v>
      </c>
      <c r="E36" s="1054">
        <v>255</v>
      </c>
      <c r="F36" s="1055">
        <v>-14</v>
      </c>
      <c r="G36" s="1055">
        <v>-42</v>
      </c>
      <c r="H36" s="1057">
        <f>H35</f>
        <v>5.3</v>
      </c>
      <c r="I36" s="1058">
        <f>E36*('Ввод исходных данных'!$D$83-F36)</f>
        <v>8160</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238.65</v>
      </c>
      <c r="W36" s="1065">
        <v>-5.0999999999999996</v>
      </c>
      <c r="X36" s="1065"/>
      <c r="Y36" s="1065">
        <f t="shared" si="6"/>
        <v>31</v>
      </c>
      <c r="Z36" s="1065">
        <f>Y36*('Ввод исходных данных'!$D$83-W36)</f>
        <v>716.1</v>
      </c>
      <c r="AA36" s="1066">
        <v>-20.2</v>
      </c>
      <c r="AB36" s="1066"/>
      <c r="AC36" s="1066">
        <f t="shared" si="7"/>
        <v>30</v>
      </c>
      <c r="AD36" s="1066">
        <f>AC36*('Ввод исходных данных'!$D$83-AA36)</f>
        <v>1146</v>
      </c>
      <c r="AE36" s="1067">
        <v>-28.3</v>
      </c>
      <c r="AF36" s="1067"/>
      <c r="AG36" s="1067">
        <v>31</v>
      </c>
      <c r="AH36" s="1067">
        <f>AG36*('Ввод исходных данных'!$D$83-AE36)</f>
        <v>1435.3</v>
      </c>
      <c r="AI36" s="1068">
        <v>-30</v>
      </c>
      <c r="AJ36" s="1068"/>
      <c r="AK36" s="1068">
        <v>31</v>
      </c>
      <c r="AL36" s="1068">
        <f>AK36*('Ввод исходных данных'!$D$83-AI36)</f>
        <v>1488</v>
      </c>
      <c r="AM36" s="1069">
        <v>-24.5</v>
      </c>
      <c r="AN36" s="1069"/>
      <c r="AO36" s="1069">
        <v>28</v>
      </c>
      <c r="AP36" s="1069">
        <f>AO36*('Ввод исходных данных'!$D$83-AM36)</f>
        <v>1190</v>
      </c>
      <c r="AQ36" s="1064">
        <v>-15.9</v>
      </c>
      <c r="AR36" s="1064"/>
      <c r="AS36" s="1064">
        <f t="shared" si="8"/>
        <v>31</v>
      </c>
      <c r="AT36" s="1064">
        <f>AS36*('Ввод исходных данных'!$D$83-AQ36)</f>
        <v>1050.8999999999999</v>
      </c>
      <c r="AU36" s="1070">
        <v>-3.5</v>
      </c>
      <c r="AV36" s="1070"/>
      <c r="AW36" s="1070">
        <f t="shared" si="9"/>
        <v>30</v>
      </c>
      <c r="AX36" s="1070">
        <f>AW36*('Ввод исходных данных'!$D$83-AU36)</f>
        <v>645</v>
      </c>
      <c r="AY36" s="1071">
        <v>6.2</v>
      </c>
      <c r="AZ36" s="1071"/>
      <c r="BA36" s="1071">
        <f t="shared" si="10"/>
        <v>21.5</v>
      </c>
      <c r="BB36" s="1071">
        <f>BA36*('Ввод исходных данных'!$D$83-AY36)</f>
        <v>253.70000000000002</v>
      </c>
      <c r="BC36" s="1072">
        <v>13.6</v>
      </c>
      <c r="BD36" s="1072"/>
      <c r="BE36" s="1072">
        <f t="shared" si="2"/>
        <v>0</v>
      </c>
      <c r="BF36" s="1073">
        <f>BE36*('Ввод исходных данных'!$D$83-BC36)</f>
        <v>0</v>
      </c>
    </row>
    <row r="37" spans="2:58" ht="15.75" customHeight="1" x14ac:dyDescent="0.25">
      <c r="B37" s="1051" t="s">
        <v>13</v>
      </c>
      <c r="C37" s="1052" t="s">
        <v>33</v>
      </c>
      <c r="D37" s="1053" t="str">
        <f t="shared" si="0"/>
        <v>Амурская областьУсть-Нюкжа</v>
      </c>
      <c r="E37" s="1054">
        <v>252</v>
      </c>
      <c r="F37" s="1055">
        <v>-15.1</v>
      </c>
      <c r="G37" s="1055">
        <v>-43</v>
      </c>
      <c r="H37" s="1057">
        <v>1.7</v>
      </c>
      <c r="I37" s="1058">
        <f>E37*('Ввод исходных данных'!$D$83-F37)</f>
        <v>8341.2000000000007</v>
      </c>
      <c r="J37" s="1059" t="str">
        <f t="shared" si="1"/>
        <v>8000-9000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228</v>
      </c>
      <c r="W37" s="1065">
        <v>-4.8</v>
      </c>
      <c r="X37" s="1065"/>
      <c r="Y37" s="1065">
        <f t="shared" si="6"/>
        <v>31</v>
      </c>
      <c r="Z37" s="1065">
        <f>Y37*('Ввод исходных данных'!$D$83-W37)</f>
        <v>706.80000000000007</v>
      </c>
      <c r="AA37" s="1066">
        <v>-20.6</v>
      </c>
      <c r="AB37" s="1066"/>
      <c r="AC37" s="1066">
        <f t="shared" si="7"/>
        <v>30</v>
      </c>
      <c r="AD37" s="1066">
        <f>AC37*('Ввод исходных данных'!$D$83-AA37)</f>
        <v>1158</v>
      </c>
      <c r="AE37" s="1067">
        <v>-30.2</v>
      </c>
      <c r="AF37" s="1067"/>
      <c r="AG37" s="1067">
        <v>31</v>
      </c>
      <c r="AH37" s="1067">
        <f>AG37*('Ввод исходных данных'!$D$83-AE37)</f>
        <v>1494.2</v>
      </c>
      <c r="AI37" s="1068">
        <v>-31.3</v>
      </c>
      <c r="AJ37" s="1068"/>
      <c r="AK37" s="1068">
        <v>31</v>
      </c>
      <c r="AL37" s="1068">
        <f>AK37*('Ввод исходных данных'!$D$83-AI37)</f>
        <v>1528.3</v>
      </c>
      <c r="AM37" s="1069">
        <v>-25.3</v>
      </c>
      <c r="AN37" s="1069"/>
      <c r="AO37" s="1069">
        <v>28</v>
      </c>
      <c r="AP37" s="1069">
        <f>AO37*('Ввод исходных данных'!$D$83-AM37)</f>
        <v>1212.3999999999999</v>
      </c>
      <c r="AQ37" s="1064">
        <v>-14.1</v>
      </c>
      <c r="AR37" s="1064"/>
      <c r="AS37" s="1064">
        <f t="shared" si="8"/>
        <v>31</v>
      </c>
      <c r="AT37" s="1064">
        <f>AS37*('Ввод исходных данных'!$D$83-AQ37)</f>
        <v>995.1</v>
      </c>
      <c r="AU37" s="1070">
        <v>-2.1</v>
      </c>
      <c r="AV37" s="1070"/>
      <c r="AW37" s="1070">
        <f t="shared" si="9"/>
        <v>30</v>
      </c>
      <c r="AX37" s="1070">
        <f>AW37*('Ввод исходных данных'!$D$83-AU37)</f>
        <v>603</v>
      </c>
      <c r="AY37" s="1071">
        <v>7.1</v>
      </c>
      <c r="AZ37" s="1071"/>
      <c r="BA37" s="1071">
        <f t="shared" si="10"/>
        <v>20</v>
      </c>
      <c r="BB37" s="1071">
        <f>BA37*('Ввод исходных данных'!$D$83-AY37)</f>
        <v>218</v>
      </c>
      <c r="BC37" s="1072">
        <v>14.8</v>
      </c>
      <c r="BD37" s="1072"/>
      <c r="BE37" s="1072">
        <f t="shared" si="2"/>
        <v>0</v>
      </c>
      <c r="BF37" s="1073">
        <f>BE37*('Ввод исходных данных'!$D$83-BC37)</f>
        <v>0</v>
      </c>
    </row>
    <row r="38" spans="2:58" ht="15.75" customHeight="1" x14ac:dyDescent="0.25">
      <c r="B38" s="1074" t="s">
        <v>13</v>
      </c>
      <c r="C38" s="1076" t="s">
        <v>19</v>
      </c>
      <c r="D38" s="1053" t="str">
        <f t="shared" si="0"/>
        <v>Амурская областьЧерняево</v>
      </c>
      <c r="E38" s="1054">
        <v>229</v>
      </c>
      <c r="F38" s="1055">
        <v>-13.1</v>
      </c>
      <c r="G38" s="1055">
        <v>-40</v>
      </c>
      <c r="H38" s="1057">
        <v>3.7</v>
      </c>
      <c r="I38" s="1058">
        <f>E38*('Ввод исходных данных'!$D$83-F38)</f>
        <v>7121.9000000000005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70.550000000000011</v>
      </c>
      <c r="W38" s="1065">
        <v>-0.7</v>
      </c>
      <c r="X38" s="1065"/>
      <c r="Y38" s="1065">
        <f t="shared" si="6"/>
        <v>31</v>
      </c>
      <c r="Z38" s="1065">
        <f>Y38*('Ввод исходных данных'!$D$83-W38)</f>
        <v>579.69999999999993</v>
      </c>
      <c r="AA38" s="1066">
        <v>-15.8</v>
      </c>
      <c r="AB38" s="1066"/>
      <c r="AC38" s="1066">
        <f t="shared" si="7"/>
        <v>30</v>
      </c>
      <c r="AD38" s="1066">
        <f>AC38*('Ввод исходных данных'!$D$83-AA38)</f>
        <v>1013.9999999999999</v>
      </c>
      <c r="AE38" s="1067">
        <v>-25.1</v>
      </c>
      <c r="AF38" s="1067"/>
      <c r="AG38" s="1067">
        <v>31</v>
      </c>
      <c r="AH38" s="1067">
        <f>AG38*('Ввод исходных данных'!$D$83-AE38)</f>
        <v>1336.1000000000001</v>
      </c>
      <c r="AI38" s="1068">
        <v>-26.6</v>
      </c>
      <c r="AJ38" s="1068"/>
      <c r="AK38" s="1068">
        <v>31</v>
      </c>
      <c r="AL38" s="1068">
        <f>AK38*('Ввод исходных данных'!$D$83-AI38)</f>
        <v>1382.6000000000001</v>
      </c>
      <c r="AM38" s="1069">
        <v>-21.5</v>
      </c>
      <c r="AN38" s="1069"/>
      <c r="AO38" s="1069">
        <v>28</v>
      </c>
      <c r="AP38" s="1069">
        <f>AO38*('Ввод исходных данных'!$D$83-AM38)</f>
        <v>1106</v>
      </c>
      <c r="AQ38" s="1064">
        <v>-11.2</v>
      </c>
      <c r="AR38" s="1064"/>
      <c r="AS38" s="1064">
        <f t="shared" si="8"/>
        <v>31</v>
      </c>
      <c r="AT38" s="1064">
        <f>AS38*('Ввод исходных данных'!$D$83-AQ38)</f>
        <v>905.19999999999993</v>
      </c>
      <c r="AU38" s="1070">
        <v>1.5</v>
      </c>
      <c r="AV38" s="1070"/>
      <c r="AW38" s="1070">
        <f t="shared" si="9"/>
        <v>30</v>
      </c>
      <c r="AX38" s="1070">
        <f>AW38*('Ввод исходных данных'!$D$83-AU38)</f>
        <v>495</v>
      </c>
      <c r="AY38" s="1071">
        <v>10.199999999999999</v>
      </c>
      <c r="AZ38" s="1071"/>
      <c r="BA38" s="1071">
        <f t="shared" si="10"/>
        <v>8.5</v>
      </c>
      <c r="BB38" s="1071">
        <f>BA38*('Ввод исходных данных'!$D$83-AY38)</f>
        <v>66.300000000000011</v>
      </c>
      <c r="BC38" s="1072">
        <v>17.2</v>
      </c>
      <c r="BD38" s="1072"/>
      <c r="BE38" s="1072">
        <f t="shared" si="2"/>
        <v>0</v>
      </c>
      <c r="BF38" s="1073">
        <f>BE38*('Ввод исходных данных'!$D$83-BC38)</f>
        <v>0</v>
      </c>
    </row>
    <row r="39" spans="2:58" ht="15.75" customHeight="1" x14ac:dyDescent="0.25">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7106.5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84</v>
      </c>
      <c r="W39" s="1065">
        <v>-0.8</v>
      </c>
      <c r="X39" s="1065"/>
      <c r="Y39" s="1065">
        <f t="shared" si="6"/>
        <v>31</v>
      </c>
      <c r="Z39" s="1065">
        <f>Y39*('Ввод исходных данных'!$D$83-W39)</f>
        <v>582.80000000000007</v>
      </c>
      <c r="AA39" s="1066">
        <v>-15.7</v>
      </c>
      <c r="AB39" s="1066"/>
      <c r="AC39" s="1066">
        <f t="shared" si="7"/>
        <v>30</v>
      </c>
      <c r="AD39" s="1066">
        <f>AC39*('Ввод исходных данных'!$D$83-AA39)</f>
        <v>1011.0000000000001</v>
      </c>
      <c r="AE39" s="1067">
        <v>-25.3</v>
      </c>
      <c r="AF39" s="1067"/>
      <c r="AG39" s="1067">
        <v>31</v>
      </c>
      <c r="AH39" s="1067">
        <f>AG39*('Ввод исходных данных'!$D$83-AE39)</f>
        <v>1342.3</v>
      </c>
      <c r="AI39" s="1068">
        <v>-27.7</v>
      </c>
      <c r="AJ39" s="1068"/>
      <c r="AK39" s="1068">
        <v>31</v>
      </c>
      <c r="AL39" s="1068">
        <f>AK39*('Ввод исходных данных'!$D$83-AI39)</f>
        <v>1416.7</v>
      </c>
      <c r="AM39" s="1069">
        <v>-21.9</v>
      </c>
      <c r="AN39" s="1069"/>
      <c r="AO39" s="1069">
        <v>28</v>
      </c>
      <c r="AP39" s="1069">
        <f>AO39*('Ввод исходных данных'!$D$83-AM39)</f>
        <v>1117.2</v>
      </c>
      <c r="AQ39" s="1064">
        <v>-12.2</v>
      </c>
      <c r="AR39" s="1064"/>
      <c r="AS39" s="1064">
        <f t="shared" si="8"/>
        <v>31</v>
      </c>
      <c r="AT39" s="1064">
        <f>AS39*('Ввод исходных данных'!$D$83-AQ39)</f>
        <v>936.19999999999993</v>
      </c>
      <c r="AU39" s="1070">
        <v>0.6</v>
      </c>
      <c r="AV39" s="1070"/>
      <c r="AW39" s="1070">
        <f t="shared" si="9"/>
        <v>30</v>
      </c>
      <c r="AX39" s="1070">
        <f>AW39*('Ввод исходных данных'!$D$83-AU39)</f>
        <v>522</v>
      </c>
      <c r="AY39" s="1071">
        <v>9.1</v>
      </c>
      <c r="AZ39" s="1071"/>
      <c r="BA39" s="1071">
        <f t="shared" si="10"/>
        <v>10.5</v>
      </c>
      <c r="BB39" s="1071">
        <f>BA39*('Ввод исходных данных'!$D$83-AY39)</f>
        <v>93.45</v>
      </c>
      <c r="BC39" s="1072">
        <v>16.100000000000001</v>
      </c>
      <c r="BD39" s="1072"/>
      <c r="BE39" s="1072">
        <f t="shared" si="2"/>
        <v>0</v>
      </c>
      <c r="BF39" s="1073">
        <f>BE39*('Ввод исходных данных'!$D$83-BC39)</f>
        <v>0</v>
      </c>
    </row>
    <row r="40" spans="2:58" ht="15.75" customHeight="1" x14ac:dyDescent="0.25">
      <c r="B40" s="1074" t="s">
        <v>13</v>
      </c>
      <c r="C40" s="1076" t="s">
        <v>21</v>
      </c>
      <c r="D40" s="1053" t="str">
        <f t="shared" si="0"/>
        <v>Амурская областьЭкимчан</v>
      </c>
      <c r="E40" s="1054">
        <v>249</v>
      </c>
      <c r="F40" s="1055">
        <v>-14.4</v>
      </c>
      <c r="G40" s="1055">
        <v>-42</v>
      </c>
      <c r="H40" s="1057">
        <v>1.6</v>
      </c>
      <c r="I40" s="1058">
        <f>E40*('Ввод исходных данных'!$D$83-F40)</f>
        <v>8067.5999999999995</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194.25</v>
      </c>
      <c r="W40" s="1065">
        <v>-2.9</v>
      </c>
      <c r="X40" s="1065"/>
      <c r="Y40" s="1065">
        <f t="shared" si="6"/>
        <v>31</v>
      </c>
      <c r="Z40" s="1065">
        <f>Y40*('Ввод исходных данных'!$D$83-W40)</f>
        <v>647.9</v>
      </c>
      <c r="AA40" s="1066">
        <v>-18.399999999999999</v>
      </c>
      <c r="AB40" s="1066"/>
      <c r="AC40" s="1066">
        <f t="shared" si="7"/>
        <v>30</v>
      </c>
      <c r="AD40" s="1066">
        <f>AC40*('Ввод исходных данных'!$D$83-AA40)</f>
        <v>1092</v>
      </c>
      <c r="AE40" s="1067">
        <v>-29.6</v>
      </c>
      <c r="AF40" s="1067"/>
      <c r="AG40" s="1067">
        <v>31</v>
      </c>
      <c r="AH40" s="1067">
        <f>AG40*('Ввод исходных данных'!$D$83-AE40)</f>
        <v>1475.6000000000001</v>
      </c>
      <c r="AI40" s="1068">
        <v>-30.8</v>
      </c>
      <c r="AJ40" s="1068"/>
      <c r="AK40" s="1068">
        <v>31</v>
      </c>
      <c r="AL40" s="1068">
        <f>AK40*('Ввод исходных данных'!$D$83-AI40)</f>
        <v>1512.8</v>
      </c>
      <c r="AM40" s="1069">
        <v>-24.3</v>
      </c>
      <c r="AN40" s="1069"/>
      <c r="AO40" s="1069">
        <v>28</v>
      </c>
      <c r="AP40" s="1069">
        <f>AO40*('Ввод исходных данных'!$D$83-AM40)</f>
        <v>1184.3999999999999</v>
      </c>
      <c r="AQ40" s="1064">
        <v>-13.5</v>
      </c>
      <c r="AR40" s="1064"/>
      <c r="AS40" s="1064">
        <f t="shared" si="8"/>
        <v>31</v>
      </c>
      <c r="AT40" s="1064">
        <f>AS40*('Ввод исходных данных'!$D$83-AQ40)</f>
        <v>976.5</v>
      </c>
      <c r="AU40" s="1070">
        <v>-1.5</v>
      </c>
      <c r="AV40" s="1070"/>
      <c r="AW40" s="1070">
        <f t="shared" si="9"/>
        <v>30</v>
      </c>
      <c r="AX40" s="1070">
        <f>AW40*('Ввод исходных данных'!$D$83-AU40)</f>
        <v>585</v>
      </c>
      <c r="AY40" s="1071">
        <v>7.3</v>
      </c>
      <c r="AZ40" s="1071"/>
      <c r="BA40" s="1071">
        <f t="shared" si="10"/>
        <v>18.5</v>
      </c>
      <c r="BB40" s="1071">
        <f>BA40*('Ввод исходных данных'!$D$83-AY40)</f>
        <v>197.95</v>
      </c>
      <c r="BC40" s="1072">
        <v>14.3</v>
      </c>
      <c r="BD40" s="1072"/>
      <c r="BE40" s="1072">
        <f t="shared" si="2"/>
        <v>0</v>
      </c>
      <c r="BF40" s="1073">
        <f>BE40*('Ввод исходных данных'!$D$83-BC40)</f>
        <v>0</v>
      </c>
    </row>
    <row r="41" spans="2:58" ht="15.75" customHeight="1" x14ac:dyDescent="0.25">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5625</v>
      </c>
      <c r="J41" s="1059" t="str">
        <f t="shared" si="1"/>
        <v>5000-6000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190</v>
      </c>
      <c r="W41" s="1065">
        <v>1.8</v>
      </c>
      <c r="X41" s="1065"/>
      <c r="Y41" s="1065">
        <f t="shared" si="6"/>
        <v>31</v>
      </c>
      <c r="Z41" s="1065">
        <f>Y41*('Ввод исходных данных'!$D$83-W41)</f>
        <v>502.2</v>
      </c>
      <c r="AA41" s="1066">
        <v>-4.8</v>
      </c>
      <c r="AB41" s="1066"/>
      <c r="AC41" s="1066">
        <f t="shared" si="7"/>
        <v>30</v>
      </c>
      <c r="AD41" s="1066">
        <f>AC41*('Ввод исходных данных'!$D$83-AA41)</f>
        <v>684</v>
      </c>
      <c r="AE41" s="1067">
        <v>-9.9</v>
      </c>
      <c r="AF41" s="1067"/>
      <c r="AG41" s="1067">
        <v>31</v>
      </c>
      <c r="AH41" s="1067">
        <f>AG41*('Ввод исходных данных'!$D$83-AE41)</f>
        <v>864.9</v>
      </c>
      <c r="AI41" s="1068">
        <v>-13.6</v>
      </c>
      <c r="AJ41" s="1068"/>
      <c r="AK41" s="1068">
        <v>31</v>
      </c>
      <c r="AL41" s="1068">
        <f>AK41*('Ввод исходных данных'!$D$83-AI41)</f>
        <v>979.6</v>
      </c>
      <c r="AM41" s="1069">
        <v>-12.1</v>
      </c>
      <c r="AN41" s="1069"/>
      <c r="AO41" s="1069">
        <v>28</v>
      </c>
      <c r="AP41" s="1069">
        <f>AO41*('Ввод исходных данных'!$D$83-AM41)</f>
        <v>842.80000000000007</v>
      </c>
      <c r="AQ41" s="1064">
        <v>-5.7</v>
      </c>
      <c r="AR41" s="1064"/>
      <c r="AS41" s="1064">
        <f t="shared" si="8"/>
        <v>31</v>
      </c>
      <c r="AT41" s="1064">
        <f>AS41*('Ввод исходных данных'!$D$83-AQ41)</f>
        <v>734.69999999999993</v>
      </c>
      <c r="AU41" s="1070">
        <v>0.1</v>
      </c>
      <c r="AV41" s="1070"/>
      <c r="AW41" s="1070">
        <f t="shared" si="9"/>
        <v>30</v>
      </c>
      <c r="AX41" s="1070">
        <f>AW41*('Ввод исходных данных'!$D$83-AU41)</f>
        <v>537</v>
      </c>
      <c r="AY41" s="1071">
        <v>6.6</v>
      </c>
      <c r="AZ41" s="1071"/>
      <c r="BA41" s="1071">
        <f t="shared" si="10"/>
        <v>19</v>
      </c>
      <c r="BB41" s="1071">
        <f>BA41*('Ввод исходных данных'!$D$83-AY41)</f>
        <v>216.6</v>
      </c>
      <c r="BC41" s="1072">
        <v>12.7</v>
      </c>
      <c r="BD41" s="1072"/>
      <c r="BE41" s="1072">
        <f t="shared" si="2"/>
        <v>0</v>
      </c>
      <c r="BF41" s="1073">
        <f>BE41*('Ввод исходных данных'!$D$83-BC41)</f>
        <v>0</v>
      </c>
    </row>
    <row r="42" spans="2:58" ht="15.75" customHeight="1" x14ac:dyDescent="0.25">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6814.2000000000007</v>
      </c>
      <c r="J42" s="1059" t="str">
        <f t="shared" si="1"/>
        <v>6000-7000</v>
      </c>
      <c r="K42" s="1060">
        <v>13.5</v>
      </c>
      <c r="L42" s="1060"/>
      <c r="M42" s="1061">
        <f t="shared" si="3"/>
        <v>0</v>
      </c>
      <c r="N42" s="1062">
        <f>M42*('Ввод исходных данных'!$D$83-K42)</f>
        <v>0</v>
      </c>
      <c r="O42" s="1063">
        <v>11</v>
      </c>
      <c r="P42" s="1063"/>
      <c r="Q42" s="1063">
        <f t="shared" si="4"/>
        <v>2</v>
      </c>
      <c r="R42" s="1063">
        <f>Q42*('Ввод исходных данных'!$D$83-O42)</f>
        <v>14</v>
      </c>
      <c r="S42" s="1064">
        <v>5.5</v>
      </c>
      <c r="T42" s="1064"/>
      <c r="U42" s="1064">
        <f t="shared" si="5"/>
        <v>30</v>
      </c>
      <c r="V42" s="1064">
        <f>U42*('Ввод исходных данных'!$D$83-S42)</f>
        <v>375</v>
      </c>
      <c r="W42" s="1065">
        <v>-1.7</v>
      </c>
      <c r="X42" s="1065"/>
      <c r="Y42" s="1065">
        <f t="shared" si="6"/>
        <v>31</v>
      </c>
      <c r="Z42" s="1065">
        <f>Y42*('Ввод исходных данных'!$D$83-W42)</f>
        <v>610.69999999999993</v>
      </c>
      <c r="AA42" s="1066">
        <v>-8.1</v>
      </c>
      <c r="AB42" s="1066"/>
      <c r="AC42" s="1066">
        <f t="shared" si="7"/>
        <v>30</v>
      </c>
      <c r="AD42" s="1066">
        <f>AC42*('Ввод исходных данных'!$D$83-AA42)</f>
        <v>783</v>
      </c>
      <c r="AE42" s="1067">
        <v>-13.9</v>
      </c>
      <c r="AF42" s="1067"/>
      <c r="AG42" s="1067">
        <v>31</v>
      </c>
      <c r="AH42" s="1067">
        <f>AG42*('Ввод исходных данных'!$D$83-AE42)</f>
        <v>988.9</v>
      </c>
      <c r="AI42" s="1068">
        <v>-17.8</v>
      </c>
      <c r="AJ42" s="1068"/>
      <c r="AK42" s="1068">
        <v>31</v>
      </c>
      <c r="AL42" s="1068">
        <f>AK42*('Ввод исходных данных'!$D$83-AI42)</f>
        <v>1109.8</v>
      </c>
      <c r="AM42" s="1069">
        <v>-16.399999999999999</v>
      </c>
      <c r="AN42" s="1069"/>
      <c r="AO42" s="1069">
        <v>28</v>
      </c>
      <c r="AP42" s="1069">
        <f>AO42*('Ввод исходных данных'!$D$83-AM42)</f>
        <v>963.19999999999993</v>
      </c>
      <c r="AQ42" s="1064">
        <v>-11.2</v>
      </c>
      <c r="AR42" s="1064"/>
      <c r="AS42" s="1064">
        <f t="shared" si="8"/>
        <v>31</v>
      </c>
      <c r="AT42" s="1064">
        <f>AS42*('Ввод исходных данных'!$D$83-AQ42)</f>
        <v>905.19999999999993</v>
      </c>
      <c r="AU42" s="1070">
        <v>-2.9</v>
      </c>
      <c r="AV42" s="1070"/>
      <c r="AW42" s="1070">
        <f t="shared" si="9"/>
        <v>30</v>
      </c>
      <c r="AX42" s="1070">
        <f>AW42*('Ввод исходных данных'!$D$83-AU42)</f>
        <v>627</v>
      </c>
      <c r="AY42" s="1071">
        <v>3.1</v>
      </c>
      <c r="AZ42" s="1071"/>
      <c r="BA42" s="1071">
        <f t="shared" si="10"/>
        <v>31</v>
      </c>
      <c r="BB42" s="1071">
        <f>BA42*('Ввод исходных данных'!$D$83-AY42)</f>
        <v>461.90000000000003</v>
      </c>
      <c r="BC42" s="1072">
        <v>10.199999999999999</v>
      </c>
      <c r="BD42" s="1072"/>
      <c r="BE42" s="1072">
        <f t="shared" si="2"/>
        <v>2</v>
      </c>
      <c r="BF42" s="1073">
        <f>BE42*('Ввод исходных данных'!$D$83-BC42)</f>
        <v>15.600000000000001</v>
      </c>
    </row>
    <row r="43" spans="2:58" ht="15.75" customHeight="1" x14ac:dyDescent="0.25">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5652.3</v>
      </c>
      <c r="J43" s="1059" t="str">
        <f t="shared" si="1"/>
        <v>5000-6000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185</v>
      </c>
      <c r="W43" s="1065">
        <v>1.2</v>
      </c>
      <c r="X43" s="1065"/>
      <c r="Y43" s="1065">
        <f t="shared" si="6"/>
        <v>31</v>
      </c>
      <c r="Z43" s="1065">
        <f>Y43*('Ввод исходных данных'!$D$83-W43)</f>
        <v>520.80000000000007</v>
      </c>
      <c r="AA43" s="1066">
        <v>-4.5</v>
      </c>
      <c r="AB43" s="1066"/>
      <c r="AC43" s="1066">
        <f t="shared" si="7"/>
        <v>30</v>
      </c>
      <c r="AD43" s="1066">
        <f>AC43*('Ввод исходных данных'!$D$83-AA43)</f>
        <v>675</v>
      </c>
      <c r="AE43" s="1067">
        <v>-10.199999999999999</v>
      </c>
      <c r="AF43" s="1067"/>
      <c r="AG43" s="1067">
        <v>31</v>
      </c>
      <c r="AH43" s="1067">
        <f>AG43*('Ввод исходных данных'!$D$83-AE43)</f>
        <v>874.19999999999993</v>
      </c>
      <c r="AI43" s="1068">
        <v>-14.1</v>
      </c>
      <c r="AJ43" s="1068"/>
      <c r="AK43" s="1068">
        <v>31</v>
      </c>
      <c r="AL43" s="1068">
        <f>AK43*('Ввод исходных данных'!$D$83-AI43)</f>
        <v>995.1</v>
      </c>
      <c r="AM43" s="1069">
        <v>-12.8</v>
      </c>
      <c r="AN43" s="1069"/>
      <c r="AO43" s="1069">
        <v>28</v>
      </c>
      <c r="AP43" s="1069">
        <f>AO43*('Ввод исходных данных'!$D$83-AM43)</f>
        <v>862.4</v>
      </c>
      <c r="AQ43" s="1064">
        <v>-7.3</v>
      </c>
      <c r="AR43" s="1064"/>
      <c r="AS43" s="1064">
        <f t="shared" si="8"/>
        <v>31</v>
      </c>
      <c r="AT43" s="1064">
        <f>AS43*('Ввод исходных данных'!$D$83-AQ43)</f>
        <v>784.30000000000007</v>
      </c>
      <c r="AU43" s="1070">
        <v>-0.1</v>
      </c>
      <c r="AV43" s="1070"/>
      <c r="AW43" s="1070">
        <f t="shared" si="9"/>
        <v>30</v>
      </c>
      <c r="AX43" s="1070">
        <f>AW43*('Ввод исходных данных'!$D$83-AU43)</f>
        <v>543</v>
      </c>
      <c r="AY43" s="1071">
        <v>6.6</v>
      </c>
      <c r="AZ43" s="1071"/>
      <c r="BA43" s="1071">
        <f t="shared" si="10"/>
        <v>18.5</v>
      </c>
      <c r="BB43" s="1071">
        <f>BA43*('Ввод исходных данных'!$D$83-AY43)</f>
        <v>210.9</v>
      </c>
      <c r="BC43" s="1072">
        <v>13.4</v>
      </c>
      <c r="BD43" s="1072"/>
      <c r="BE43" s="1072">
        <f t="shared" si="2"/>
        <v>0</v>
      </c>
      <c r="BF43" s="1073">
        <f>BE43*('Ввод исходных данных'!$D$83-BC43)</f>
        <v>0</v>
      </c>
    </row>
    <row r="44" spans="2:58" ht="15.75" customHeight="1" x14ac:dyDescent="0.25">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6340.4</v>
      </c>
      <c r="J44" s="1059" t="str">
        <f t="shared" si="1"/>
        <v>6000-7000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277.5</v>
      </c>
      <c r="W44" s="1065">
        <v>0.1</v>
      </c>
      <c r="X44" s="1065"/>
      <c r="Y44" s="1065">
        <f t="shared" si="6"/>
        <v>31</v>
      </c>
      <c r="Z44" s="1065">
        <f>Y44*('Ввод исходных данных'!$D$83-W44)</f>
        <v>554.9</v>
      </c>
      <c r="AA44" s="1066">
        <v>-7.5</v>
      </c>
      <c r="AB44" s="1066"/>
      <c r="AC44" s="1066">
        <f t="shared" si="7"/>
        <v>30</v>
      </c>
      <c r="AD44" s="1066">
        <f>AC44*('Ввод исходных данных'!$D$83-AA44)</f>
        <v>765</v>
      </c>
      <c r="AE44" s="1067">
        <v>-13.1</v>
      </c>
      <c r="AF44" s="1067"/>
      <c r="AG44" s="1067">
        <v>31</v>
      </c>
      <c r="AH44" s="1067">
        <f>AG44*('Ввод исходных данных'!$D$83-AE44)</f>
        <v>964.1</v>
      </c>
      <c r="AI44" s="1068">
        <v>-17.2</v>
      </c>
      <c r="AJ44" s="1068"/>
      <c r="AK44" s="1068">
        <v>31</v>
      </c>
      <c r="AL44" s="1068">
        <f>AK44*('Ввод исходных данных'!$D$83-AI44)</f>
        <v>1091.2</v>
      </c>
      <c r="AM44" s="1069">
        <v>-15</v>
      </c>
      <c r="AN44" s="1069"/>
      <c r="AO44" s="1069">
        <v>28</v>
      </c>
      <c r="AP44" s="1069">
        <f>AO44*('Ввод исходных данных'!$D$83-AM44)</f>
        <v>924</v>
      </c>
      <c r="AQ44" s="1064">
        <v>-7.1</v>
      </c>
      <c r="AR44" s="1064"/>
      <c r="AS44" s="1064">
        <f t="shared" si="8"/>
        <v>31</v>
      </c>
      <c r="AT44" s="1064">
        <f>AS44*('Ввод исходных данных'!$D$83-AQ44)</f>
        <v>778.1</v>
      </c>
      <c r="AU44" s="1070">
        <v>-1.1000000000000001</v>
      </c>
      <c r="AV44" s="1070"/>
      <c r="AW44" s="1070">
        <f t="shared" si="9"/>
        <v>30</v>
      </c>
      <c r="AX44" s="1070">
        <f>AW44*('Ввод исходных данных'!$D$83-AU44)</f>
        <v>573</v>
      </c>
      <c r="AY44" s="1071">
        <v>5.4</v>
      </c>
      <c r="AZ44" s="1071"/>
      <c r="BA44" s="1071">
        <f t="shared" si="10"/>
        <v>25</v>
      </c>
      <c r="BB44" s="1071">
        <f>BA44*('Ввод исходных данных'!$D$83-AY44)</f>
        <v>315</v>
      </c>
      <c r="BC44" s="1072">
        <v>12.3</v>
      </c>
      <c r="BD44" s="1072"/>
      <c r="BE44" s="1072">
        <f t="shared" si="2"/>
        <v>0</v>
      </c>
      <c r="BF44" s="1073">
        <f>BE44*('Ввод исходных данных'!$D$83-BC44)</f>
        <v>0</v>
      </c>
    </row>
    <row r="45" spans="2:58" ht="15.75" customHeight="1" x14ac:dyDescent="0.25">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5451</v>
      </c>
      <c r="J45" s="1059" t="str">
        <f t="shared" si="1"/>
        <v>5000-6000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120</v>
      </c>
      <c r="W45" s="1065">
        <v>1.9</v>
      </c>
      <c r="X45" s="1065"/>
      <c r="Y45" s="1065">
        <f t="shared" si="6"/>
        <v>31</v>
      </c>
      <c r="Z45" s="1065">
        <f>Y45*('Ввод исходных данных'!$D$83-W45)</f>
        <v>499.1</v>
      </c>
      <c r="AA45" s="1066">
        <v>-5.3</v>
      </c>
      <c r="AB45" s="1066"/>
      <c r="AC45" s="1066">
        <f t="shared" si="7"/>
        <v>30</v>
      </c>
      <c r="AD45" s="1066">
        <f>AC45*('Ввод исходных данных'!$D$83-AA45)</f>
        <v>699</v>
      </c>
      <c r="AE45" s="1067">
        <v>-10.8</v>
      </c>
      <c r="AF45" s="1067"/>
      <c r="AG45" s="1067">
        <v>31</v>
      </c>
      <c r="AH45" s="1067">
        <f>AG45*('Ввод исходных данных'!$D$83-AE45)</f>
        <v>892.80000000000007</v>
      </c>
      <c r="AI45" s="1068">
        <v>-14.1</v>
      </c>
      <c r="AJ45" s="1068"/>
      <c r="AK45" s="1068">
        <v>31</v>
      </c>
      <c r="AL45" s="1068">
        <f>AK45*('Ввод исходных данных'!$D$83-AI45)</f>
        <v>995.1</v>
      </c>
      <c r="AM45" s="1069">
        <v>-12.2</v>
      </c>
      <c r="AN45" s="1069"/>
      <c r="AO45" s="1069">
        <v>28</v>
      </c>
      <c r="AP45" s="1069">
        <f>AO45*('Ввод исходных данных'!$D$83-AM45)</f>
        <v>845.6</v>
      </c>
      <c r="AQ45" s="1064">
        <v>-4.7</v>
      </c>
      <c r="AR45" s="1064"/>
      <c r="AS45" s="1064">
        <f t="shared" si="8"/>
        <v>31</v>
      </c>
      <c r="AT45" s="1064">
        <f>AS45*('Ввод исходных данных'!$D$83-AQ45)</f>
        <v>703.69999999999993</v>
      </c>
      <c r="AU45" s="1070">
        <v>2.2999999999999998</v>
      </c>
      <c r="AV45" s="1070"/>
      <c r="AW45" s="1070">
        <f t="shared" si="9"/>
        <v>30</v>
      </c>
      <c r="AX45" s="1070">
        <f>AW45*('Ввод исходных данных'!$D$83-AU45)</f>
        <v>471</v>
      </c>
      <c r="AY45" s="1071">
        <v>9</v>
      </c>
      <c r="AZ45" s="1071"/>
      <c r="BA45" s="1071">
        <f t="shared" si="10"/>
        <v>12.5</v>
      </c>
      <c r="BB45" s="1071">
        <f>BA45*('Ввод исходных данных'!$D$83-AY45)</f>
        <v>112.5</v>
      </c>
      <c r="BC45" s="1072">
        <v>14.6</v>
      </c>
      <c r="BD45" s="1072"/>
      <c r="BE45" s="1072">
        <f t="shared" si="2"/>
        <v>0</v>
      </c>
      <c r="BF45" s="1073">
        <f>BE45*('Ввод исходных данных'!$D$83-BC45)</f>
        <v>0</v>
      </c>
    </row>
    <row r="46" spans="2:58" ht="15.75" customHeight="1" x14ac:dyDescent="0.25">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6244.4000000000005</v>
      </c>
      <c r="J46" s="1059" t="str">
        <f t="shared" si="1"/>
        <v>6000-7000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305.2</v>
      </c>
      <c r="W46" s="1065">
        <v>0.6</v>
      </c>
      <c r="X46" s="1065"/>
      <c r="Y46" s="1065">
        <f t="shared" si="6"/>
        <v>31</v>
      </c>
      <c r="Z46" s="1065">
        <f>Y46*('Ввод исходных данных'!$D$83-W46)</f>
        <v>539.4</v>
      </c>
      <c r="AA46" s="1066">
        <v>-6.3</v>
      </c>
      <c r="AB46" s="1066"/>
      <c r="AC46" s="1066">
        <f t="shared" si="7"/>
        <v>30</v>
      </c>
      <c r="AD46" s="1066">
        <f>AC46*('Ввод исходных данных'!$D$83-AA46)</f>
        <v>729</v>
      </c>
      <c r="AE46" s="1067">
        <v>-11</v>
      </c>
      <c r="AF46" s="1067"/>
      <c r="AG46" s="1067">
        <v>31</v>
      </c>
      <c r="AH46" s="1067">
        <f>AG46*('Ввод исходных данных'!$D$83-AE46)</f>
        <v>899</v>
      </c>
      <c r="AI46" s="1068">
        <v>-14.8</v>
      </c>
      <c r="AJ46" s="1068"/>
      <c r="AK46" s="1068">
        <v>31</v>
      </c>
      <c r="AL46" s="1068">
        <f>AK46*('Ввод исходных данных'!$D$83-AI46)</f>
        <v>1016.8</v>
      </c>
      <c r="AM46" s="1069">
        <v>-13.4</v>
      </c>
      <c r="AN46" s="1069"/>
      <c r="AO46" s="1069">
        <v>28</v>
      </c>
      <c r="AP46" s="1069">
        <f>AO46*('Ввод исходных данных'!$D$83-AM46)</f>
        <v>879.19999999999993</v>
      </c>
      <c r="AQ46" s="1064">
        <v>-7.2</v>
      </c>
      <c r="AR46" s="1064"/>
      <c r="AS46" s="1064">
        <f t="shared" si="8"/>
        <v>31</v>
      </c>
      <c r="AT46" s="1064">
        <f>AS46*('Ввод исходных данных'!$D$83-AQ46)</f>
        <v>781.19999999999993</v>
      </c>
      <c r="AU46" s="1070">
        <v>-2.2000000000000002</v>
      </c>
      <c r="AV46" s="1070"/>
      <c r="AW46" s="1070">
        <f t="shared" si="9"/>
        <v>30</v>
      </c>
      <c r="AX46" s="1070">
        <f>AW46*('Ввод исходных данных'!$D$83-AU46)</f>
        <v>606</v>
      </c>
      <c r="AY46" s="1071">
        <v>4</v>
      </c>
      <c r="AZ46" s="1071"/>
      <c r="BA46" s="1071">
        <f t="shared" si="10"/>
        <v>28</v>
      </c>
      <c r="BB46" s="1071">
        <f>BA46*('Ввод исходных данных'!$D$83-AY46)</f>
        <v>392</v>
      </c>
      <c r="BC46" s="1072">
        <v>10.5</v>
      </c>
      <c r="BD46" s="1072"/>
      <c r="BE46" s="1072">
        <f t="shared" si="2"/>
        <v>0</v>
      </c>
      <c r="BF46" s="1073">
        <f>BE46*('Ввод исходных данных'!$D$83-BC46)</f>
        <v>0</v>
      </c>
    </row>
    <row r="47" spans="2:58" ht="15.75" customHeight="1" x14ac:dyDescent="0.25">
      <c r="B47" s="1051" t="s">
        <v>36</v>
      </c>
      <c r="C47" s="1052" t="s">
        <v>43</v>
      </c>
      <c r="D47" s="1053" t="str">
        <f t="shared" si="0"/>
        <v>Архангельская областьОнега</v>
      </c>
      <c r="E47" s="1054">
        <v>243</v>
      </c>
      <c r="F47" s="1055">
        <v>-4</v>
      </c>
      <c r="G47" s="1055">
        <v>-32</v>
      </c>
      <c r="H47" s="1057">
        <v>3.7</v>
      </c>
      <c r="I47" s="1058">
        <f>E47*('Ввод исходных данных'!$D$83-F47)</f>
        <v>5346</v>
      </c>
      <c r="J47" s="1059" t="str">
        <f t="shared" si="1"/>
        <v>5000-6000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144.15</v>
      </c>
      <c r="W47" s="1065">
        <v>2.5</v>
      </c>
      <c r="X47" s="1065"/>
      <c r="Y47" s="1065">
        <f t="shared" si="6"/>
        <v>31</v>
      </c>
      <c r="Z47" s="1065">
        <f>Y47*('Ввод исходных данных'!$D$83-W47)</f>
        <v>480.5</v>
      </c>
      <c r="AA47" s="1066">
        <v>-3.8</v>
      </c>
      <c r="AB47" s="1066"/>
      <c r="AC47" s="1066">
        <f t="shared" si="7"/>
        <v>30</v>
      </c>
      <c r="AD47" s="1066">
        <f>AC47*('Ввод исходных данных'!$D$83-AA47)</f>
        <v>654</v>
      </c>
      <c r="AE47" s="1067">
        <v>-8.6999999999999993</v>
      </c>
      <c r="AF47" s="1067"/>
      <c r="AG47" s="1067">
        <v>31</v>
      </c>
      <c r="AH47" s="1067">
        <f>AG47*('Ввод исходных данных'!$D$83-AE47)</f>
        <v>827.69999999999993</v>
      </c>
      <c r="AI47" s="1068">
        <v>-12.3</v>
      </c>
      <c r="AJ47" s="1068"/>
      <c r="AK47" s="1068">
        <v>31</v>
      </c>
      <c r="AL47" s="1068">
        <f>AK47*('Ввод исходных данных'!$D$83-AI47)</f>
        <v>939.30000000000007</v>
      </c>
      <c r="AM47" s="1069">
        <v>-11</v>
      </c>
      <c r="AN47" s="1069"/>
      <c r="AO47" s="1069">
        <v>28</v>
      </c>
      <c r="AP47" s="1069">
        <f>AO47*('Ввод исходных данных'!$D$83-AM47)</f>
        <v>812</v>
      </c>
      <c r="AQ47" s="1064">
        <v>-5</v>
      </c>
      <c r="AR47" s="1064"/>
      <c r="AS47" s="1064">
        <f t="shared" si="8"/>
        <v>31</v>
      </c>
      <c r="AT47" s="1064">
        <f>AS47*('Ввод исходных данных'!$D$83-AQ47)</f>
        <v>713</v>
      </c>
      <c r="AU47" s="1070">
        <v>0.8</v>
      </c>
      <c r="AV47" s="1070"/>
      <c r="AW47" s="1070">
        <f t="shared" si="9"/>
        <v>30</v>
      </c>
      <c r="AX47" s="1070">
        <f>AW47*('Ввод исходных данных'!$D$83-AU47)</f>
        <v>516</v>
      </c>
      <c r="AY47" s="1071">
        <v>7.2</v>
      </c>
      <c r="AZ47" s="1071"/>
      <c r="BA47" s="1071">
        <f t="shared" si="10"/>
        <v>15.5</v>
      </c>
      <c r="BB47" s="1071">
        <f>BA47*('Ввод исходных данных'!$D$83-AY47)</f>
        <v>167.4</v>
      </c>
      <c r="BC47" s="1072">
        <v>13.4</v>
      </c>
      <c r="BD47" s="1072"/>
      <c r="BE47" s="1072">
        <f t="shared" si="2"/>
        <v>0</v>
      </c>
      <c r="BF47" s="1073">
        <f>BE47*('Ввод исходных данных'!$D$83-BC47)</f>
        <v>0</v>
      </c>
    </row>
    <row r="48" spans="2:58" ht="15.75" customHeight="1" x14ac:dyDescent="0.25">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3083.2000000000003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52</v>
      </c>
      <c r="AA48" s="1066">
        <v>3.4</v>
      </c>
      <c r="AB48" s="1066"/>
      <c r="AC48" s="1066">
        <f t="shared" si="7"/>
        <v>30</v>
      </c>
      <c r="AD48" s="1066">
        <f>AC48*('Ввод исходных данных'!$D$83-AA48)</f>
        <v>438</v>
      </c>
      <c r="AE48" s="1067">
        <v>-2</v>
      </c>
      <c r="AF48" s="1067"/>
      <c r="AG48" s="1067">
        <v>31</v>
      </c>
      <c r="AH48" s="1067">
        <f>AG48*('Ввод исходных данных'!$D$83-AE48)</f>
        <v>620</v>
      </c>
      <c r="AI48" s="1068">
        <v>-4.8</v>
      </c>
      <c r="AJ48" s="1068"/>
      <c r="AK48" s="1068">
        <v>31</v>
      </c>
      <c r="AL48" s="1068">
        <f>AK48*('Ввод исходных данных'!$D$83-AI48)</f>
        <v>706.80000000000007</v>
      </c>
      <c r="AM48" s="1069">
        <v>-4.3</v>
      </c>
      <c r="AN48" s="1069"/>
      <c r="AO48" s="1069">
        <v>28</v>
      </c>
      <c r="AP48" s="1069">
        <f>AO48*('Ввод исходных данных'!$D$83-AM48)</f>
        <v>624.4</v>
      </c>
      <c r="AQ48" s="1064">
        <v>2</v>
      </c>
      <c r="AR48" s="1064"/>
      <c r="AS48" s="1064">
        <f t="shared" si="8"/>
        <v>31</v>
      </c>
      <c r="AT48" s="1064">
        <f>AS48*('Ввод исходных данных'!$D$83-AQ48)</f>
        <v>496</v>
      </c>
      <c r="AU48" s="1070">
        <v>11.3</v>
      </c>
      <c r="AV48" s="1070"/>
      <c r="AW48" s="1070">
        <f t="shared" si="9"/>
        <v>6.5</v>
      </c>
      <c r="AX48" s="1070">
        <f>AW48*('Ввод исходных данных'!$D$83-AU48)</f>
        <v>43.55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25">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3567</v>
      </c>
      <c r="J49" s="1059" t="str">
        <f t="shared" si="1"/>
        <v>3000-4000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109.25</v>
      </c>
      <c r="AA49" s="1066">
        <v>1.2</v>
      </c>
      <c r="AB49" s="1066"/>
      <c r="AC49" s="1066">
        <f t="shared" si="7"/>
        <v>30</v>
      </c>
      <c r="AD49" s="1066">
        <f>AC49*('Ввод исходных данных'!$D$83-AA49)</f>
        <v>504</v>
      </c>
      <c r="AE49" s="1067">
        <v>-4.5999999999999996</v>
      </c>
      <c r="AF49" s="1067"/>
      <c r="AG49" s="1067">
        <v>31</v>
      </c>
      <c r="AH49" s="1067">
        <f>AG49*('Ввод исходных данных'!$D$83-AE49)</f>
        <v>700.6</v>
      </c>
      <c r="AI49" s="1068">
        <v>-7.5</v>
      </c>
      <c r="AJ49" s="1068"/>
      <c r="AK49" s="1068">
        <v>31</v>
      </c>
      <c r="AL49" s="1068">
        <f>AK49*('Ввод исходных данных'!$D$83-AI49)</f>
        <v>790.5</v>
      </c>
      <c r="AM49" s="1069">
        <v>-7</v>
      </c>
      <c r="AN49" s="1069"/>
      <c r="AO49" s="1069">
        <v>28</v>
      </c>
      <c r="AP49" s="1069">
        <f>AO49*('Ввод исходных данных'!$D$83-AM49)</f>
        <v>700</v>
      </c>
      <c r="AQ49" s="1064">
        <v>0.1</v>
      </c>
      <c r="AR49" s="1064"/>
      <c r="AS49" s="1064">
        <f t="shared" si="8"/>
        <v>31</v>
      </c>
      <c r="AT49" s="1064">
        <f>AS49*('Ввод исходных данных'!$D$83-AQ49)</f>
        <v>554.9</v>
      </c>
      <c r="AU49" s="1070">
        <v>10.6</v>
      </c>
      <c r="AV49" s="1070"/>
      <c r="AW49" s="1070">
        <f t="shared" si="9"/>
        <v>11.5</v>
      </c>
      <c r="AX49" s="1070">
        <f>AW49*('Ввод исходных данных'!$D$83-AU49)</f>
        <v>85.100000000000009</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25">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3800.8999999999996</v>
      </c>
      <c r="J50" s="1059" t="str">
        <f t="shared" si="1"/>
        <v>3000-4000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232</v>
      </c>
      <c r="AA50" s="1066">
        <v>0.3</v>
      </c>
      <c r="AB50" s="1066"/>
      <c r="AC50" s="1066">
        <f t="shared" si="7"/>
        <v>30</v>
      </c>
      <c r="AD50" s="1066">
        <f>AC50*('Ввод исходных данных'!$D$83-AA50)</f>
        <v>531</v>
      </c>
      <c r="AE50" s="1067">
        <v>-4.5</v>
      </c>
      <c r="AF50" s="1067"/>
      <c r="AG50" s="1067">
        <v>31</v>
      </c>
      <c r="AH50" s="1067">
        <f>AG50*('Ввод исходных данных'!$D$83-AE50)</f>
        <v>697.5</v>
      </c>
      <c r="AI50" s="1068">
        <v>-8.5</v>
      </c>
      <c r="AJ50" s="1068"/>
      <c r="AK50" s="1068">
        <v>31</v>
      </c>
      <c r="AL50" s="1068">
        <f>AK50*('Ввод исходных данных'!$D$83-AI50)</f>
        <v>821.5</v>
      </c>
      <c r="AM50" s="1069">
        <v>-6.4</v>
      </c>
      <c r="AN50" s="1069"/>
      <c r="AO50" s="1069">
        <v>28</v>
      </c>
      <c r="AP50" s="1069">
        <f>AO50*('Ввод исходных данных'!$D$83-AM50)</f>
        <v>683.19999999999993</v>
      </c>
      <c r="AQ50" s="1064">
        <v>-2.5</v>
      </c>
      <c r="AR50" s="1064"/>
      <c r="AS50" s="1064">
        <f t="shared" si="8"/>
        <v>31</v>
      </c>
      <c r="AT50" s="1064">
        <f>AS50*('Ввод исходных данных'!$D$83-AQ50)</f>
        <v>635.5</v>
      </c>
      <c r="AU50" s="1070">
        <v>7.5</v>
      </c>
      <c r="AV50" s="1070"/>
      <c r="AW50" s="1070">
        <f t="shared" si="9"/>
        <v>20</v>
      </c>
      <c r="AX50" s="1070">
        <f>AW50*('Ввод исходных данных'!$D$83-AU50)</f>
        <v>210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25">
      <c r="B51" s="1052" t="s">
        <v>50</v>
      </c>
      <c r="C51" s="1052" t="s">
        <v>51</v>
      </c>
      <c r="D51" s="1053" t="str">
        <f t="shared" si="0"/>
        <v>Брянская областьБрянск</v>
      </c>
      <c r="E51" s="1054">
        <v>199</v>
      </c>
      <c r="F51" s="1055">
        <v>-2</v>
      </c>
      <c r="G51" s="1055">
        <v>-24</v>
      </c>
      <c r="H51" s="1057">
        <v>3.4</v>
      </c>
      <c r="I51" s="1058">
        <f>E51*('Ввод исходных данных'!$D$83-F51)</f>
        <v>3980</v>
      </c>
      <c r="J51" s="1059" t="str">
        <f t="shared" si="1"/>
        <v>3000-4000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297.60000000000002</v>
      </c>
      <c r="AA51" s="1066">
        <v>-0.4</v>
      </c>
      <c r="AB51" s="1066"/>
      <c r="AC51" s="1066">
        <f t="shared" si="7"/>
        <v>30</v>
      </c>
      <c r="AD51" s="1066">
        <f>AC51*('Ввод исходных данных'!$D$83-AA51)</f>
        <v>552</v>
      </c>
      <c r="AE51" s="1067">
        <v>-5</v>
      </c>
      <c r="AF51" s="1067"/>
      <c r="AG51" s="1067">
        <v>31</v>
      </c>
      <c r="AH51" s="1067">
        <f>AG51*('Ввод исходных данных'!$D$83-AE51)</f>
        <v>713</v>
      </c>
      <c r="AI51" s="1068">
        <v>-7.4</v>
      </c>
      <c r="AJ51" s="1068"/>
      <c r="AK51" s="1068">
        <v>31</v>
      </c>
      <c r="AL51" s="1068">
        <f>AK51*('Ввод исходных данных'!$D$83-AI51)</f>
        <v>787.4</v>
      </c>
      <c r="AM51" s="1069">
        <v>-6.6</v>
      </c>
      <c r="AN51" s="1069"/>
      <c r="AO51" s="1069">
        <v>28</v>
      </c>
      <c r="AP51" s="1069">
        <f>AO51*('Ввод исходных данных'!$D$83-AM51)</f>
        <v>688.80000000000007</v>
      </c>
      <c r="AQ51" s="1064">
        <v>-1.2</v>
      </c>
      <c r="AR51" s="1064"/>
      <c r="AS51" s="1064">
        <f t="shared" si="8"/>
        <v>31</v>
      </c>
      <c r="AT51" s="1064">
        <f>AS51*('Ввод исходных данных'!$D$83-AQ51)</f>
        <v>595.19999999999993</v>
      </c>
      <c r="AU51" s="1070">
        <v>7</v>
      </c>
      <c r="AV51" s="1070"/>
      <c r="AW51" s="1070">
        <f t="shared" si="9"/>
        <v>24</v>
      </c>
      <c r="AX51" s="1070">
        <f>AW51*('Ввод исходных данных'!$D$83-AU51)</f>
        <v>264</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25">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4579.5</v>
      </c>
      <c r="J52" s="1059" t="str">
        <f t="shared" si="1"/>
        <v>4000-5000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3.6500000000000004</v>
      </c>
      <c r="W52" s="1065">
        <v>3.7</v>
      </c>
      <c r="X52" s="1065"/>
      <c r="Y52" s="1065">
        <f t="shared" si="6"/>
        <v>31</v>
      </c>
      <c r="Z52" s="1065">
        <f>Y52*('Ввод исходных данных'!$D$83-W52)</f>
        <v>443.3</v>
      </c>
      <c r="AA52" s="1066">
        <v>-2.7</v>
      </c>
      <c r="AB52" s="1066"/>
      <c r="AC52" s="1066">
        <f t="shared" si="7"/>
        <v>30</v>
      </c>
      <c r="AD52" s="1066">
        <f>AC52*('Ввод исходных данных'!$D$83-AA52)</f>
        <v>621</v>
      </c>
      <c r="AE52" s="1067">
        <v>-7.5</v>
      </c>
      <c r="AF52" s="1067"/>
      <c r="AG52" s="1067">
        <v>31</v>
      </c>
      <c r="AH52" s="1067">
        <f>AG52*('Ввод исходных данных'!$D$83-AE52)</f>
        <v>790.5</v>
      </c>
      <c r="AI52" s="1068">
        <v>-11.1</v>
      </c>
      <c r="AJ52" s="1068"/>
      <c r="AK52" s="1068">
        <v>31</v>
      </c>
      <c r="AL52" s="1068">
        <f>AK52*('Ввод исходных данных'!$D$83-AI52)</f>
        <v>902.1</v>
      </c>
      <c r="AM52" s="1069">
        <v>-10</v>
      </c>
      <c r="AN52" s="1069"/>
      <c r="AO52" s="1069">
        <v>28</v>
      </c>
      <c r="AP52" s="1069">
        <f>AO52*('Ввод исходных данных'!$D$83-AM52)</f>
        <v>784</v>
      </c>
      <c r="AQ52" s="1064">
        <v>-4.3</v>
      </c>
      <c r="AR52" s="1064"/>
      <c r="AS52" s="1064">
        <f t="shared" si="8"/>
        <v>31</v>
      </c>
      <c r="AT52" s="1064">
        <f>AS52*('Ввод исходных данных'!$D$83-AQ52)</f>
        <v>691.30000000000007</v>
      </c>
      <c r="AU52" s="1070">
        <v>4.9000000000000004</v>
      </c>
      <c r="AV52" s="1070"/>
      <c r="AW52" s="1070">
        <f t="shared" si="9"/>
        <v>30</v>
      </c>
      <c r="AX52" s="1070">
        <f>AW52*('Ввод исходных данных'!$D$83-AU52)</f>
        <v>393</v>
      </c>
      <c r="AY52" s="1071">
        <v>12.2</v>
      </c>
      <c r="AZ52" s="1071"/>
      <c r="BA52" s="1071">
        <f t="shared" si="10"/>
        <v>0.5</v>
      </c>
      <c r="BB52" s="1071">
        <f>BA52*('Ввод исходных данных'!$D$83-AY52)</f>
        <v>2.9000000000000004</v>
      </c>
      <c r="BC52" s="1072">
        <v>16.600000000000001</v>
      </c>
      <c r="BD52" s="1072"/>
      <c r="BE52" s="1072">
        <f t="shared" si="2"/>
        <v>0</v>
      </c>
      <c r="BF52" s="1073">
        <f>BE52*('Ввод исходных данных'!$D$83-BC52)</f>
        <v>0</v>
      </c>
    </row>
    <row r="53" spans="2:58" ht="15.75" customHeight="1" x14ac:dyDescent="0.25">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4708</v>
      </c>
      <c r="J53" s="1059" t="str">
        <f t="shared" si="1"/>
        <v>4000-5000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6.6999999999999993</v>
      </c>
      <c r="W53" s="1065">
        <v>4.0999999999999996</v>
      </c>
      <c r="X53" s="1065"/>
      <c r="Y53" s="1065">
        <f t="shared" si="6"/>
        <v>31</v>
      </c>
      <c r="Z53" s="1065">
        <f>Y53*('Ввод исходных данных'!$D$83-W53)</f>
        <v>430.90000000000003</v>
      </c>
      <c r="AA53" s="1066">
        <v>-2.2999999999999998</v>
      </c>
      <c r="AB53" s="1066"/>
      <c r="AC53" s="1066">
        <f t="shared" si="7"/>
        <v>30</v>
      </c>
      <c r="AD53" s="1066">
        <f>AC53*('Ввод исходных данных'!$D$83-AA53)</f>
        <v>609</v>
      </c>
      <c r="AE53" s="1067">
        <v>-8.1999999999999993</v>
      </c>
      <c r="AF53" s="1067"/>
      <c r="AG53" s="1067">
        <v>31</v>
      </c>
      <c r="AH53" s="1067">
        <f>AG53*('Ввод исходных данных'!$D$83-AE53)</f>
        <v>812.19999999999993</v>
      </c>
      <c r="AI53" s="1068">
        <v>-11.5</v>
      </c>
      <c r="AJ53" s="1068"/>
      <c r="AK53" s="1068">
        <v>31</v>
      </c>
      <c r="AL53" s="1068">
        <f>AK53*('Ввод исходных данных'!$D$83-AI53)</f>
        <v>914.5</v>
      </c>
      <c r="AM53" s="1069">
        <v>-10.9</v>
      </c>
      <c r="AN53" s="1069"/>
      <c r="AO53" s="1069">
        <v>28</v>
      </c>
      <c r="AP53" s="1069">
        <f>AO53*('Ввод исходных данных'!$D$83-AM53)</f>
        <v>809.19999999999993</v>
      </c>
      <c r="AQ53" s="1064">
        <v>-4.9000000000000004</v>
      </c>
      <c r="AR53" s="1064"/>
      <c r="AS53" s="1064">
        <f t="shared" si="8"/>
        <v>31</v>
      </c>
      <c r="AT53" s="1064">
        <f>AS53*('Ввод исходных данных'!$D$83-AQ53)</f>
        <v>709.9</v>
      </c>
      <c r="AU53" s="1070">
        <v>4.7</v>
      </c>
      <c r="AV53" s="1070"/>
      <c r="AW53" s="1070">
        <f t="shared" si="9"/>
        <v>30</v>
      </c>
      <c r="AX53" s="1070">
        <f>AW53*('Ввод исходных данных'!$D$83-AU53)</f>
        <v>399</v>
      </c>
      <c r="AY53" s="1071">
        <v>12.5</v>
      </c>
      <c r="AZ53" s="1071"/>
      <c r="BA53" s="1071">
        <f t="shared" si="10"/>
        <v>1</v>
      </c>
      <c r="BB53" s="1071">
        <f>BA53*('Ввод исходных данных'!$D$83-AY53)</f>
        <v>5.5</v>
      </c>
      <c r="BC53" s="1072">
        <v>16.7</v>
      </c>
      <c r="BD53" s="1072"/>
      <c r="BE53" s="1072">
        <f t="shared" si="2"/>
        <v>0</v>
      </c>
      <c r="BF53" s="1073">
        <f>BE53*('Ввод исходных данных'!$D$83-BC53)</f>
        <v>0</v>
      </c>
    </row>
    <row r="54" spans="2:58" ht="15.75" customHeight="1" x14ac:dyDescent="0.25">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3572.8</v>
      </c>
      <c r="J54" s="1059" t="str">
        <f t="shared" si="1"/>
        <v>3000-4000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121.24999999999999</v>
      </c>
      <c r="AA54" s="1066">
        <v>1.1000000000000001</v>
      </c>
      <c r="AB54" s="1066"/>
      <c r="AC54" s="1066">
        <f t="shared" si="7"/>
        <v>30</v>
      </c>
      <c r="AD54" s="1066">
        <f>AC54*('Ввод исходных данных'!$D$83-AA54)</f>
        <v>506.99999999999994</v>
      </c>
      <c r="AE54" s="1067">
        <v>-4.4000000000000004</v>
      </c>
      <c r="AF54" s="1067"/>
      <c r="AG54" s="1067">
        <v>31</v>
      </c>
      <c r="AH54" s="1067">
        <f>AG54*('Ввод исходных данных'!$D$83-AE54)</f>
        <v>694.4</v>
      </c>
      <c r="AI54" s="1068">
        <v>-6.9</v>
      </c>
      <c r="AJ54" s="1068"/>
      <c r="AK54" s="1068">
        <v>31</v>
      </c>
      <c r="AL54" s="1068">
        <f>AK54*('Ввод исходных данных'!$D$83-AI54)</f>
        <v>771.9</v>
      </c>
      <c r="AM54" s="1069">
        <v>-6.5</v>
      </c>
      <c r="AN54" s="1069"/>
      <c r="AO54" s="1069">
        <v>28</v>
      </c>
      <c r="AP54" s="1069">
        <f>AO54*('Ввод исходных данных'!$D$83-AM54)</f>
        <v>686</v>
      </c>
      <c r="AQ54" s="1064">
        <v>-0.3</v>
      </c>
      <c r="AR54" s="1064"/>
      <c r="AS54" s="1064">
        <f t="shared" si="8"/>
        <v>31</v>
      </c>
      <c r="AT54" s="1064">
        <f>AS54*('Ввод исходных данных'!$D$83-AQ54)</f>
        <v>567.30000000000007</v>
      </c>
      <c r="AU54" s="1070">
        <v>10</v>
      </c>
      <c r="AV54" s="1070"/>
      <c r="AW54" s="1070">
        <f t="shared" si="9"/>
        <v>12.5</v>
      </c>
      <c r="AX54" s="1070">
        <f>AW54*('Ввод исходных данных'!$D$83-AU54)</f>
        <v>100</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25">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4154.8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209.05</v>
      </c>
      <c r="AA55" s="1066">
        <v>-0.8</v>
      </c>
      <c r="AB55" s="1066"/>
      <c r="AC55" s="1066">
        <f t="shared" si="7"/>
        <v>30</v>
      </c>
      <c r="AD55" s="1066">
        <f>AC55*('Ввод исходных данных'!$D$83-AA55)</f>
        <v>564</v>
      </c>
      <c r="AE55" s="1067">
        <v>-6.7</v>
      </c>
      <c r="AF55" s="1067"/>
      <c r="AG55" s="1067">
        <v>31</v>
      </c>
      <c r="AH55" s="1067">
        <f>AG55*('Ввод исходных данных'!$D$83-AE55)</f>
        <v>765.69999999999993</v>
      </c>
      <c r="AI55" s="1068">
        <v>-10.4</v>
      </c>
      <c r="AJ55" s="1068"/>
      <c r="AK55" s="1068">
        <v>31</v>
      </c>
      <c r="AL55" s="1068">
        <f>AK55*('Ввод исходных данных'!$D$83-AI55)</f>
        <v>880.4</v>
      </c>
      <c r="AM55" s="1069">
        <v>-9.9</v>
      </c>
      <c r="AN55" s="1069"/>
      <c r="AO55" s="1069">
        <v>28</v>
      </c>
      <c r="AP55" s="1069">
        <f>AO55*('Ввод исходных данных'!$D$83-AM55)</f>
        <v>781.19999999999993</v>
      </c>
      <c r="AQ55" s="1064">
        <v>-4</v>
      </c>
      <c r="AR55" s="1064"/>
      <c r="AS55" s="1064">
        <f t="shared" si="8"/>
        <v>31</v>
      </c>
      <c r="AT55" s="1064">
        <f>AS55*('Ввод исходных данных'!$D$83-AQ55)</f>
        <v>682</v>
      </c>
      <c r="AU55" s="1070">
        <v>7.7</v>
      </c>
      <c r="AV55" s="1070"/>
      <c r="AW55" s="1070">
        <f t="shared" si="9"/>
        <v>18.5</v>
      </c>
      <c r="AX55" s="1070">
        <f>AW55*('Ввод исходных данных'!$D$83-AU55)</f>
        <v>190.55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25">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4161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234</v>
      </c>
      <c r="AA56" s="1066">
        <v>-1.3</v>
      </c>
      <c r="AB56" s="1066"/>
      <c r="AC56" s="1066">
        <f t="shared" si="7"/>
        <v>30</v>
      </c>
      <c r="AD56" s="1066">
        <f>AC56*('Ввод исходных данных'!$D$83-AA56)</f>
        <v>579</v>
      </c>
      <c r="AE56" s="1067">
        <v>-8.1</v>
      </c>
      <c r="AF56" s="1067"/>
      <c r="AG56" s="1067">
        <v>31</v>
      </c>
      <c r="AH56" s="1067">
        <f>AG56*('Ввод исходных данных'!$D$83-AE56)</f>
        <v>809.1</v>
      </c>
      <c r="AI56" s="1068">
        <v>-11.7</v>
      </c>
      <c r="AJ56" s="1068"/>
      <c r="AK56" s="1068">
        <v>31</v>
      </c>
      <c r="AL56" s="1068">
        <f>AK56*('Ввод исходных данных'!$D$83-AI56)</f>
        <v>920.69999999999993</v>
      </c>
      <c r="AM56" s="1069">
        <v>-11.6</v>
      </c>
      <c r="AN56" s="1069"/>
      <c r="AO56" s="1069">
        <v>28</v>
      </c>
      <c r="AP56" s="1069">
        <f>AO56*('Ввод исходных данных'!$D$83-AM56)</f>
        <v>828.80000000000007</v>
      </c>
      <c r="AQ56" s="1064">
        <v>-5.2</v>
      </c>
      <c r="AR56" s="1064"/>
      <c r="AS56" s="1064">
        <f t="shared" si="8"/>
        <v>31</v>
      </c>
      <c r="AT56" s="1064">
        <f>AS56*('Ввод исходных данных'!$D$83-AQ56)</f>
        <v>719.19999999999993</v>
      </c>
      <c r="AU56" s="1070">
        <v>7.2</v>
      </c>
      <c r="AV56" s="1070"/>
      <c r="AW56" s="1070">
        <f t="shared" si="9"/>
        <v>19.5</v>
      </c>
      <c r="AX56" s="1070">
        <f>AW56*('Ввод исходных данных'!$D$83-AU56)</f>
        <v>210.60000000000002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25">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3449.6000000000004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121.24999999999999</v>
      </c>
      <c r="AA57" s="1066">
        <v>1.9</v>
      </c>
      <c r="AB57" s="1066"/>
      <c r="AC57" s="1066">
        <f t="shared" si="7"/>
        <v>30</v>
      </c>
      <c r="AD57" s="1066">
        <f>AC57*('Ввод исходных данных'!$D$83-AA57)</f>
        <v>483.00000000000006</v>
      </c>
      <c r="AE57" s="1067">
        <v>-3.7</v>
      </c>
      <c r="AF57" s="1067"/>
      <c r="AG57" s="1067">
        <v>31</v>
      </c>
      <c r="AH57" s="1067">
        <f>AG57*('Ввод исходных данных'!$D$83-AE57)</f>
        <v>672.69999999999993</v>
      </c>
      <c r="AI57" s="1068">
        <v>-7.4</v>
      </c>
      <c r="AJ57" s="1068"/>
      <c r="AK57" s="1068">
        <v>31</v>
      </c>
      <c r="AL57" s="1068">
        <f>AK57*('Ввод исходных данных'!$D$83-AI57)</f>
        <v>787.4</v>
      </c>
      <c r="AM57" s="1069">
        <v>-6.8</v>
      </c>
      <c r="AN57" s="1069"/>
      <c r="AO57" s="1069">
        <v>28</v>
      </c>
      <c r="AP57" s="1069">
        <f>AO57*('Ввод исходных данных'!$D$83-AM57)</f>
        <v>694.4</v>
      </c>
      <c r="AQ57" s="1064">
        <v>-0.8</v>
      </c>
      <c r="AR57" s="1064"/>
      <c r="AS57" s="1064">
        <f t="shared" si="8"/>
        <v>31</v>
      </c>
      <c r="AT57" s="1064">
        <f>AS57*('Ввод исходных данных'!$D$83-AQ57)</f>
        <v>582.80000000000007</v>
      </c>
      <c r="AU57" s="1070">
        <v>9.5</v>
      </c>
      <c r="AV57" s="1070"/>
      <c r="AW57" s="1070">
        <f t="shared" si="9"/>
        <v>12.5</v>
      </c>
      <c r="AX57" s="1070">
        <f>AW57*('Ввод исходных данных'!$D$83-AU57)</f>
        <v>106.25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25">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4087.3999999999996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242</v>
      </c>
      <c r="AA58" s="1066">
        <v>-0.5</v>
      </c>
      <c r="AB58" s="1066"/>
      <c r="AC58" s="1066">
        <f t="shared" si="7"/>
        <v>30</v>
      </c>
      <c r="AD58" s="1066">
        <f>AC58*('Ввод исходных данных'!$D$83-AA58)</f>
        <v>555</v>
      </c>
      <c r="AE58" s="1067">
        <v>-5.8</v>
      </c>
      <c r="AF58" s="1067"/>
      <c r="AG58" s="1067">
        <v>31</v>
      </c>
      <c r="AH58" s="1067">
        <f>AG58*('Ввод исходных данных'!$D$83-AE58)</f>
        <v>737.80000000000007</v>
      </c>
      <c r="AI58" s="1068">
        <v>-10</v>
      </c>
      <c r="AJ58" s="1068"/>
      <c r="AK58" s="1068">
        <v>31</v>
      </c>
      <c r="AL58" s="1068">
        <f>AK58*('Ввод исходных данных'!$D$83-AI58)</f>
        <v>868</v>
      </c>
      <c r="AM58" s="1069">
        <v>-9.1</v>
      </c>
      <c r="AN58" s="1069"/>
      <c r="AO58" s="1069">
        <v>28</v>
      </c>
      <c r="AP58" s="1069">
        <f>AO58*('Ввод исходных данных'!$D$83-AM58)</f>
        <v>758.80000000000007</v>
      </c>
      <c r="AQ58" s="1064">
        <v>-3.4</v>
      </c>
      <c r="AR58" s="1064"/>
      <c r="AS58" s="1064">
        <f t="shared" si="8"/>
        <v>31</v>
      </c>
      <c r="AT58" s="1064">
        <f>AS58*('Ввод исходных данных'!$D$83-AQ58)</f>
        <v>663.4</v>
      </c>
      <c r="AU58" s="1070">
        <v>7.8</v>
      </c>
      <c r="AV58" s="1070"/>
      <c r="AW58" s="1070">
        <f t="shared" si="9"/>
        <v>20</v>
      </c>
      <c r="AX58" s="1070">
        <f>AW58*('Ввод исходных данных'!$D$83-AU58)</f>
        <v>204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25">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3752.4</v>
      </c>
      <c r="J59" s="1059" t="str">
        <f t="shared" si="1"/>
        <v>3000-4000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130</v>
      </c>
      <c r="AA59" s="1066">
        <v>0.6</v>
      </c>
      <c r="AB59" s="1066"/>
      <c r="AC59" s="1066">
        <f t="shared" si="7"/>
        <v>30</v>
      </c>
      <c r="AD59" s="1066">
        <f>AC59*('Ввод исходных данных'!$D$83-AA59)</f>
        <v>522</v>
      </c>
      <c r="AE59" s="1067">
        <v>-5.3</v>
      </c>
      <c r="AF59" s="1067"/>
      <c r="AG59" s="1067">
        <v>31</v>
      </c>
      <c r="AH59" s="1067">
        <f>AG59*('Ввод исходных данных'!$D$83-AE59)</f>
        <v>722.30000000000007</v>
      </c>
      <c r="AI59" s="1068">
        <v>-8.1999999999999993</v>
      </c>
      <c r="AJ59" s="1068"/>
      <c r="AK59" s="1068">
        <v>31</v>
      </c>
      <c r="AL59" s="1068">
        <f>AK59*('Ввод исходных данных'!$D$83-AI59)</f>
        <v>812.19999999999993</v>
      </c>
      <c r="AM59" s="1069">
        <v>-7.9</v>
      </c>
      <c r="AN59" s="1069"/>
      <c r="AO59" s="1069">
        <v>28</v>
      </c>
      <c r="AP59" s="1069">
        <f>AO59*('Ввод исходных данных'!$D$83-AM59)</f>
        <v>725.19999999999993</v>
      </c>
      <c r="AQ59" s="1064">
        <v>-1</v>
      </c>
      <c r="AR59" s="1064"/>
      <c r="AS59" s="1064">
        <f t="shared" si="8"/>
        <v>31</v>
      </c>
      <c r="AT59" s="1064">
        <f>AS59*('Ввод исходных данных'!$D$83-AQ59)</f>
        <v>589</v>
      </c>
      <c r="AU59" s="1070">
        <v>10.199999999999999</v>
      </c>
      <c r="AV59" s="1070"/>
      <c r="AW59" s="1070">
        <f t="shared" si="9"/>
        <v>13</v>
      </c>
      <c r="AX59" s="1070">
        <f>AW59*('Ввод исходных данных'!$D$83-AU59)</f>
        <v>101.4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25">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5035.8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83.600000000000009</v>
      </c>
      <c r="W60" s="1065">
        <v>2.9</v>
      </c>
      <c r="X60" s="1065"/>
      <c r="Y60" s="1065">
        <f t="shared" si="6"/>
        <v>31</v>
      </c>
      <c r="Z60" s="1065">
        <f>Y60*('Ввод исходных данных'!$D$83-W60)</f>
        <v>468.09999999999997</v>
      </c>
      <c r="AA60" s="1066">
        <v>-2.6</v>
      </c>
      <c r="AB60" s="1066"/>
      <c r="AC60" s="1066">
        <f t="shared" si="7"/>
        <v>30</v>
      </c>
      <c r="AD60" s="1066">
        <f>AC60*('Ввод исходных данных'!$D$83-AA60)</f>
        <v>618</v>
      </c>
      <c r="AE60" s="1067">
        <v>-8</v>
      </c>
      <c r="AF60" s="1067"/>
      <c r="AG60" s="1067">
        <v>31</v>
      </c>
      <c r="AH60" s="1067">
        <f>AG60*('Ввод исходных данных'!$D$83-AE60)</f>
        <v>806</v>
      </c>
      <c r="AI60" s="1068">
        <v>-11.6</v>
      </c>
      <c r="AJ60" s="1068"/>
      <c r="AK60" s="1068">
        <v>31</v>
      </c>
      <c r="AL60" s="1068">
        <f>AK60*('Ввод исходных данных'!$D$83-AI60)</f>
        <v>917.6</v>
      </c>
      <c r="AM60" s="1069">
        <v>-10.5</v>
      </c>
      <c r="AN60" s="1069"/>
      <c r="AO60" s="1069">
        <v>28</v>
      </c>
      <c r="AP60" s="1069">
        <f>AO60*('Ввод исходных данных'!$D$83-AM60)</f>
        <v>798</v>
      </c>
      <c r="AQ60" s="1064">
        <v>-5.4</v>
      </c>
      <c r="AR60" s="1064"/>
      <c r="AS60" s="1064">
        <f t="shared" si="8"/>
        <v>31</v>
      </c>
      <c r="AT60" s="1064">
        <f>AS60*('Ввод исходных данных'!$D$83-AQ60)</f>
        <v>725.4</v>
      </c>
      <c r="AU60" s="1070">
        <v>2.4</v>
      </c>
      <c r="AV60" s="1070"/>
      <c r="AW60" s="1070">
        <f t="shared" si="9"/>
        <v>30</v>
      </c>
      <c r="AX60" s="1070">
        <f>AW60*('Ввод исходных данных'!$D$83-AU60)</f>
        <v>468</v>
      </c>
      <c r="AY60" s="1071">
        <v>9.5</v>
      </c>
      <c r="AZ60" s="1071"/>
      <c r="BA60" s="1071">
        <f t="shared" si="10"/>
        <v>9.5</v>
      </c>
      <c r="BB60" s="1071">
        <f>BA60*('Ввод исходных данных'!$D$83-AY60)</f>
        <v>80.75</v>
      </c>
      <c r="BC60" s="1072">
        <v>14.7</v>
      </c>
      <c r="BD60" s="1072"/>
      <c r="BE60" s="1072">
        <f t="shared" si="2"/>
        <v>0</v>
      </c>
      <c r="BF60" s="1073">
        <f>BE60*('Ввод исходных данных'!$D$83-BC60)</f>
        <v>0</v>
      </c>
    </row>
    <row r="61" spans="2:58" ht="15.75" customHeight="1" x14ac:dyDescent="0.25">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5016</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70.400000000000006</v>
      </c>
      <c r="W61" s="1065">
        <v>3</v>
      </c>
      <c r="X61" s="1065"/>
      <c r="Y61" s="1065">
        <f t="shared" si="6"/>
        <v>31</v>
      </c>
      <c r="Z61" s="1065">
        <f>Y61*('Ввод исходных данных'!$D$83-W61)</f>
        <v>465</v>
      </c>
      <c r="AA61" s="1066">
        <v>-3.4</v>
      </c>
      <c r="AB61" s="1066"/>
      <c r="AC61" s="1066">
        <f t="shared" si="7"/>
        <v>30</v>
      </c>
      <c r="AD61" s="1066">
        <f>AC61*('Ввод исходных данных'!$D$83-AA61)</f>
        <v>642</v>
      </c>
      <c r="AE61" s="1067">
        <v>-8.6999999999999993</v>
      </c>
      <c r="AF61" s="1067"/>
      <c r="AG61" s="1067">
        <v>31</v>
      </c>
      <c r="AH61" s="1067">
        <f>AG61*('Ввод исходных данных'!$D$83-AE61)</f>
        <v>827.69999999999993</v>
      </c>
      <c r="AI61" s="1068">
        <v>-11.7</v>
      </c>
      <c r="AJ61" s="1068"/>
      <c r="AK61" s="1068">
        <v>31</v>
      </c>
      <c r="AL61" s="1068">
        <f>AK61*('Ввод исходных данных'!$D$83-AI61)</f>
        <v>920.69999999999993</v>
      </c>
      <c r="AM61" s="1069">
        <v>-10.5</v>
      </c>
      <c r="AN61" s="1069"/>
      <c r="AO61" s="1069">
        <v>28</v>
      </c>
      <c r="AP61" s="1069">
        <f>AO61*('Ввод исходных данных'!$D$83-AM61)</f>
        <v>798</v>
      </c>
      <c r="AQ61" s="1064">
        <v>-4</v>
      </c>
      <c r="AR61" s="1064"/>
      <c r="AS61" s="1064">
        <f t="shared" si="8"/>
        <v>31</v>
      </c>
      <c r="AT61" s="1064">
        <f>AS61*('Ввод исходных данных'!$D$83-AQ61)</f>
        <v>682</v>
      </c>
      <c r="AU61" s="1070">
        <v>3.3</v>
      </c>
      <c r="AV61" s="1070"/>
      <c r="AW61" s="1070">
        <f t="shared" si="9"/>
        <v>30</v>
      </c>
      <c r="AX61" s="1070">
        <f>AW61*('Ввод исходных данных'!$D$83-AU61)</f>
        <v>441</v>
      </c>
      <c r="AY61" s="1071">
        <v>10.4</v>
      </c>
      <c r="AZ61" s="1071"/>
      <c r="BA61" s="1071">
        <f t="shared" si="10"/>
        <v>8</v>
      </c>
      <c r="BB61" s="1071">
        <f>BA61*('Ввод исходных данных'!$D$83-AY61)</f>
        <v>60.8</v>
      </c>
      <c r="BC61" s="1072">
        <v>15</v>
      </c>
      <c r="BD61" s="1072"/>
      <c r="BE61" s="1072">
        <f t="shared" si="2"/>
        <v>0</v>
      </c>
      <c r="BF61" s="1073">
        <f>BE61*('Ввод исходных данных'!$D$83-BC61)</f>
        <v>0</v>
      </c>
    </row>
    <row r="62" spans="2:58" ht="15.75" customHeight="1" x14ac:dyDescent="0.25">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4922</v>
      </c>
      <c r="J62" s="1059" t="str">
        <f t="shared" si="1"/>
        <v>4000-5000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76.5</v>
      </c>
      <c r="W62" s="1065">
        <v>3.7</v>
      </c>
      <c r="X62" s="1065"/>
      <c r="Y62" s="1065">
        <f t="shared" si="6"/>
        <v>31</v>
      </c>
      <c r="Z62" s="1065">
        <f>Y62*('Ввод исходных данных'!$D$83-W62)</f>
        <v>443.3</v>
      </c>
      <c r="AA62" s="1066">
        <v>-2.6</v>
      </c>
      <c r="AB62" s="1066"/>
      <c r="AC62" s="1066">
        <f t="shared" si="7"/>
        <v>30</v>
      </c>
      <c r="AD62" s="1066">
        <f>AC62*('Ввод исходных данных'!$D$83-AA62)</f>
        <v>618</v>
      </c>
      <c r="AE62" s="1067">
        <v>-7.6</v>
      </c>
      <c r="AF62" s="1067"/>
      <c r="AG62" s="1067">
        <v>31</v>
      </c>
      <c r="AH62" s="1067">
        <f>AG62*('Ввод исходных данных'!$D$83-AE62)</f>
        <v>793.6</v>
      </c>
      <c r="AI62" s="1068">
        <v>-10.9</v>
      </c>
      <c r="AJ62" s="1068"/>
      <c r="AK62" s="1068">
        <v>31</v>
      </c>
      <c r="AL62" s="1068">
        <f>AK62*('Ввод исходных данных'!$D$83-AI62)</f>
        <v>895.9</v>
      </c>
      <c r="AM62" s="1069">
        <v>-9.9</v>
      </c>
      <c r="AN62" s="1069"/>
      <c r="AO62" s="1069">
        <v>28</v>
      </c>
      <c r="AP62" s="1069">
        <f>AO62*('Ввод исходных данных'!$D$83-AM62)</f>
        <v>781.19999999999993</v>
      </c>
      <c r="AQ62" s="1064">
        <v>-3.9</v>
      </c>
      <c r="AR62" s="1064"/>
      <c r="AS62" s="1064">
        <f t="shared" si="8"/>
        <v>31</v>
      </c>
      <c r="AT62" s="1064">
        <f>AS62*('Ввод исходных данных'!$D$83-AQ62)</f>
        <v>678.9</v>
      </c>
      <c r="AU62" s="1070">
        <v>2.6</v>
      </c>
      <c r="AV62" s="1070"/>
      <c r="AW62" s="1070">
        <f t="shared" si="9"/>
        <v>30</v>
      </c>
      <c r="AX62" s="1070">
        <f>AW62*('Ввод исходных данных'!$D$83-AU62)</f>
        <v>462</v>
      </c>
      <c r="AY62" s="1071">
        <v>9.3000000000000007</v>
      </c>
      <c r="AZ62" s="1071"/>
      <c r="BA62" s="1071">
        <f t="shared" si="10"/>
        <v>9</v>
      </c>
      <c r="BB62" s="1071">
        <f>BA62*('Ввод исходных данных'!$D$83-AY62)</f>
        <v>78.3</v>
      </c>
      <c r="BC62" s="1072">
        <v>14.4</v>
      </c>
      <c r="BD62" s="1072"/>
      <c r="BE62" s="1072">
        <f t="shared" si="2"/>
        <v>0</v>
      </c>
      <c r="BF62" s="1073">
        <f>BE62*('Ввод исходных данных'!$D$83-BC62)</f>
        <v>0</v>
      </c>
    </row>
    <row r="63" spans="2:58" ht="15.75" customHeight="1" x14ac:dyDescent="0.25">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5243.7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87.399999999999991</v>
      </c>
      <c r="W63" s="1065">
        <v>2.2000000000000002</v>
      </c>
      <c r="X63" s="1065"/>
      <c r="Y63" s="1065">
        <f t="shared" si="6"/>
        <v>31</v>
      </c>
      <c r="Z63" s="1065">
        <f>Y63*('Ввод исходных данных'!$D$83-W63)</f>
        <v>489.8</v>
      </c>
      <c r="AA63" s="1066">
        <v>-4.5999999999999996</v>
      </c>
      <c r="AB63" s="1066"/>
      <c r="AC63" s="1066">
        <f t="shared" si="7"/>
        <v>30</v>
      </c>
      <c r="AD63" s="1066">
        <f>AC63*('Ввод исходных данных'!$D$83-AA63)</f>
        <v>678</v>
      </c>
      <c r="AE63" s="1067">
        <v>-10.1</v>
      </c>
      <c r="AF63" s="1067"/>
      <c r="AG63" s="1067">
        <v>31</v>
      </c>
      <c r="AH63" s="1067">
        <f>AG63*('Ввод исходных данных'!$D$83-AE63)</f>
        <v>871.1</v>
      </c>
      <c r="AI63" s="1068">
        <v>-13.3</v>
      </c>
      <c r="AJ63" s="1068"/>
      <c r="AK63" s="1068">
        <v>31</v>
      </c>
      <c r="AL63" s="1068">
        <f>AK63*('Ввод исходных данных'!$D$83-AI63)</f>
        <v>970.30000000000007</v>
      </c>
      <c r="AM63" s="1069">
        <v>-11.5</v>
      </c>
      <c r="AN63" s="1069"/>
      <c r="AO63" s="1069">
        <v>28</v>
      </c>
      <c r="AP63" s="1069">
        <f>AO63*('Ввод исходных данных'!$D$83-AM63)</f>
        <v>826</v>
      </c>
      <c r="AQ63" s="1064">
        <v>-4.4000000000000004</v>
      </c>
      <c r="AR63" s="1064"/>
      <c r="AS63" s="1064">
        <f t="shared" si="8"/>
        <v>31</v>
      </c>
      <c r="AT63" s="1064">
        <f>AS63*('Ввод исходных данных'!$D$83-AQ63)</f>
        <v>694.4</v>
      </c>
      <c r="AU63" s="1070">
        <v>3</v>
      </c>
      <c r="AV63" s="1070"/>
      <c r="AW63" s="1070">
        <f t="shared" si="9"/>
        <v>30</v>
      </c>
      <c r="AX63" s="1070">
        <f>AW63*('Ввод исходных данных'!$D$83-AU63)</f>
        <v>450</v>
      </c>
      <c r="AY63" s="1071">
        <v>9.9</v>
      </c>
      <c r="AZ63" s="1071"/>
      <c r="BA63" s="1071">
        <f t="shared" si="10"/>
        <v>9.5</v>
      </c>
      <c r="BB63" s="1071">
        <f>BA63*('Ввод исходных данных'!$D$83-AY63)</f>
        <v>76.95</v>
      </c>
      <c r="BC63" s="1072">
        <v>15</v>
      </c>
      <c r="BD63" s="1072"/>
      <c r="BE63" s="1072">
        <f t="shared" si="2"/>
        <v>0</v>
      </c>
      <c r="BF63" s="1073">
        <f>BE63*('Ввод исходных данных'!$D$83-BC63)</f>
        <v>0</v>
      </c>
    </row>
    <row r="64" spans="2:58" ht="15.75" customHeight="1" x14ac:dyDescent="0.25">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5220</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93</v>
      </c>
      <c r="W64" s="1065">
        <v>2.4</v>
      </c>
      <c r="X64" s="1065"/>
      <c r="Y64" s="1065">
        <f t="shared" si="6"/>
        <v>31</v>
      </c>
      <c r="Z64" s="1065">
        <f>Y64*('Ввод исходных данных'!$D$83-W64)</f>
        <v>483.59999999999997</v>
      </c>
      <c r="AA64" s="1066">
        <v>-4.3</v>
      </c>
      <c r="AB64" s="1066"/>
      <c r="AC64" s="1066">
        <f t="shared" si="7"/>
        <v>30</v>
      </c>
      <c r="AD64" s="1066">
        <f>AC64*('Ввод исходных данных'!$D$83-AA64)</f>
        <v>669</v>
      </c>
      <c r="AE64" s="1067">
        <v>-9.6999999999999993</v>
      </c>
      <c r="AF64" s="1067"/>
      <c r="AG64" s="1067">
        <v>31</v>
      </c>
      <c r="AH64" s="1067">
        <f>AG64*('Ввод исходных данных'!$D$83-AE64)</f>
        <v>858.69999999999993</v>
      </c>
      <c r="AI64" s="1068">
        <v>-12.8</v>
      </c>
      <c r="AJ64" s="1068"/>
      <c r="AK64" s="1068">
        <v>31</v>
      </c>
      <c r="AL64" s="1068">
        <f>AK64*('Ввод исходных данных'!$D$83-AI64)</f>
        <v>954.80000000000007</v>
      </c>
      <c r="AM64" s="1069">
        <v>-11</v>
      </c>
      <c r="AN64" s="1069"/>
      <c r="AO64" s="1069">
        <v>28</v>
      </c>
      <c r="AP64" s="1069">
        <f>AO64*('Ввод исходных данных'!$D$83-AM64)</f>
        <v>812</v>
      </c>
      <c r="AQ64" s="1064">
        <v>-4.0999999999999996</v>
      </c>
      <c r="AR64" s="1064"/>
      <c r="AS64" s="1064">
        <f t="shared" si="8"/>
        <v>31</v>
      </c>
      <c r="AT64" s="1064">
        <f>AS64*('Ввод исходных данных'!$D$83-AQ64)</f>
        <v>685.1</v>
      </c>
      <c r="AU64" s="1070">
        <v>2.8</v>
      </c>
      <c r="AV64" s="1070"/>
      <c r="AW64" s="1070">
        <f t="shared" si="9"/>
        <v>30</v>
      </c>
      <c r="AX64" s="1070">
        <f>AW64*('Ввод исходных данных'!$D$83-AU64)</f>
        <v>456</v>
      </c>
      <c r="AY64" s="1071">
        <v>9.8000000000000007</v>
      </c>
      <c r="AZ64" s="1071"/>
      <c r="BA64" s="1071">
        <f t="shared" si="10"/>
        <v>10</v>
      </c>
      <c r="BB64" s="1071">
        <f>BA64*('Ввод исходных данных'!$D$83-AY64)</f>
        <v>82</v>
      </c>
      <c r="BC64" s="1072">
        <v>14.7</v>
      </c>
      <c r="BD64" s="1072"/>
      <c r="BE64" s="1072">
        <f t="shared" si="2"/>
        <v>0</v>
      </c>
      <c r="BF64" s="1073">
        <f>BE64*('Ввод исходных данных'!$D$83-BC64)</f>
        <v>0</v>
      </c>
    </row>
    <row r="65" spans="2:58" ht="15.75" customHeight="1" x14ac:dyDescent="0.25">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3895</v>
      </c>
      <c r="J65" s="1059" t="str">
        <f t="shared" si="1"/>
        <v>3000-4000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224.25</v>
      </c>
      <c r="AA65" s="1066">
        <v>-0.1</v>
      </c>
      <c r="AB65" s="1066"/>
      <c r="AC65" s="1066">
        <f t="shared" si="7"/>
        <v>30</v>
      </c>
      <c r="AD65" s="1066">
        <f>AC65*('Ввод исходных данных'!$D$83-AA65)</f>
        <v>543</v>
      </c>
      <c r="AE65" s="1067">
        <v>-5.2</v>
      </c>
      <c r="AF65" s="1067"/>
      <c r="AG65" s="1067">
        <v>31</v>
      </c>
      <c r="AH65" s="1067">
        <f>AG65*('Ввод исходных данных'!$D$83-AE65)</f>
        <v>719.19999999999993</v>
      </c>
      <c r="AI65" s="1068">
        <v>-7.5</v>
      </c>
      <c r="AJ65" s="1068"/>
      <c r="AK65" s="1068">
        <v>31</v>
      </c>
      <c r="AL65" s="1068">
        <f>AK65*('Ввод исходных данных'!$D$83-AI65)</f>
        <v>790.5</v>
      </c>
      <c r="AM65" s="1069">
        <v>-7.2</v>
      </c>
      <c r="AN65" s="1069"/>
      <c r="AO65" s="1069">
        <v>28</v>
      </c>
      <c r="AP65" s="1069">
        <f>AO65*('Ввод исходных данных'!$D$83-AM65)</f>
        <v>705.6</v>
      </c>
      <c r="AQ65" s="1064">
        <v>-1.4</v>
      </c>
      <c r="AR65" s="1064"/>
      <c r="AS65" s="1064">
        <f t="shared" si="8"/>
        <v>31</v>
      </c>
      <c r="AT65" s="1064">
        <f>AS65*('Ввод исходных данных'!$D$83-AQ65)</f>
        <v>601.4</v>
      </c>
      <c r="AU65" s="1070">
        <v>8.1999999999999993</v>
      </c>
      <c r="AV65" s="1070"/>
      <c r="AW65" s="1070">
        <f t="shared" si="9"/>
        <v>19.5</v>
      </c>
      <c r="AX65" s="1070">
        <f>AW65*('Ввод исходных данных'!$D$83-AU65)</f>
        <v>191.10000000000002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25">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6219.5999999999995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19.599999999999998</v>
      </c>
      <c r="W66" s="1065">
        <v>3</v>
      </c>
      <c r="X66" s="1065"/>
      <c r="Y66" s="1065">
        <f t="shared" si="6"/>
        <v>31</v>
      </c>
      <c r="Z66" s="1065">
        <f>Y66*('Ввод исходных данных'!$D$83-W66)</f>
        <v>465</v>
      </c>
      <c r="AA66" s="1066">
        <v>-9.8000000000000007</v>
      </c>
      <c r="AB66" s="1066"/>
      <c r="AC66" s="1066">
        <f t="shared" si="7"/>
        <v>30</v>
      </c>
      <c r="AD66" s="1066">
        <f>AC66*('Ввод исходных данных'!$D$83-AA66)</f>
        <v>834</v>
      </c>
      <c r="AE66" s="1067">
        <v>-19.600000000000001</v>
      </c>
      <c r="AF66" s="1067"/>
      <c r="AG66" s="1067">
        <v>31</v>
      </c>
      <c r="AH66" s="1067">
        <f>AG66*('Ввод исходных данных'!$D$83-AE66)</f>
        <v>1165.6000000000001</v>
      </c>
      <c r="AI66" s="1068">
        <v>-22.6</v>
      </c>
      <c r="AJ66" s="1068"/>
      <c r="AK66" s="1068">
        <v>31</v>
      </c>
      <c r="AL66" s="1068">
        <f>AK66*('Ввод исходных данных'!$D$83-AI66)</f>
        <v>1258.6000000000001</v>
      </c>
      <c r="AM66" s="1069">
        <v>-17.5</v>
      </c>
      <c r="AN66" s="1069"/>
      <c r="AO66" s="1069">
        <v>28</v>
      </c>
      <c r="AP66" s="1069">
        <f>AO66*('Ввод исходных данных'!$D$83-AM66)</f>
        <v>994</v>
      </c>
      <c r="AQ66" s="1064">
        <v>-9</v>
      </c>
      <c r="AR66" s="1064"/>
      <c r="AS66" s="1064">
        <f t="shared" si="8"/>
        <v>31</v>
      </c>
      <c r="AT66" s="1064">
        <f>AS66*('Ввод исходных данных'!$D$83-AQ66)</f>
        <v>837</v>
      </c>
      <c r="AU66" s="1070">
        <v>3</v>
      </c>
      <c r="AV66" s="1070"/>
      <c r="AW66" s="1070">
        <f t="shared" si="9"/>
        <v>30</v>
      </c>
      <c r="AX66" s="1070">
        <f>AW66*('Ввод исходных данных'!$D$83-AU66)</f>
        <v>450</v>
      </c>
      <c r="AY66" s="1071">
        <v>10.7</v>
      </c>
      <c r="AZ66" s="1071"/>
      <c r="BA66" s="1071">
        <f t="shared" si="10"/>
        <v>3.5</v>
      </c>
      <c r="BB66" s="1071">
        <f>BA66*('Ввод исходных данных'!$D$83-AY66)</f>
        <v>25.550000000000004</v>
      </c>
      <c r="BC66" s="1072">
        <v>16.7</v>
      </c>
      <c r="BD66" s="1072"/>
      <c r="BE66" s="1072">
        <f t="shared" si="2"/>
        <v>0</v>
      </c>
      <c r="BF66" s="1073">
        <f>BE66*('Ввод исходных данных'!$D$83-BC66)</f>
        <v>0</v>
      </c>
    </row>
    <row r="67" spans="2:58" ht="15.75" customHeight="1" x14ac:dyDescent="0.25">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6696.5</v>
      </c>
      <c r="J67" s="1059" t="str">
        <f t="shared" si="1"/>
        <v>6000-7000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52.5</v>
      </c>
      <c r="W67" s="1065">
        <v>1.1000000000000001</v>
      </c>
      <c r="X67" s="1065"/>
      <c r="Y67" s="1065">
        <f t="shared" si="6"/>
        <v>31</v>
      </c>
      <c r="Z67" s="1065">
        <f>Y67*('Ввод исходных данных'!$D$83-W67)</f>
        <v>523.9</v>
      </c>
      <c r="AA67" s="1066">
        <v>-12.6</v>
      </c>
      <c r="AB67" s="1066"/>
      <c r="AC67" s="1066">
        <f t="shared" si="7"/>
        <v>30</v>
      </c>
      <c r="AD67" s="1066">
        <f>AC67*('Ввод исходных данных'!$D$83-AA67)</f>
        <v>918</v>
      </c>
      <c r="AE67" s="1067">
        <v>-23.6</v>
      </c>
      <c r="AF67" s="1067"/>
      <c r="AG67" s="1067">
        <v>31</v>
      </c>
      <c r="AH67" s="1067">
        <f>AG67*('Ввод исходных данных'!$D$83-AE67)</f>
        <v>1289.6000000000001</v>
      </c>
      <c r="AI67" s="1068">
        <v>-26.5</v>
      </c>
      <c r="AJ67" s="1068"/>
      <c r="AK67" s="1068">
        <v>31</v>
      </c>
      <c r="AL67" s="1068">
        <f>AK67*('Ввод исходных данных'!$D$83-AI67)</f>
        <v>1379.5</v>
      </c>
      <c r="AM67" s="1069">
        <v>-21.1</v>
      </c>
      <c r="AN67" s="1069"/>
      <c r="AO67" s="1069">
        <v>28</v>
      </c>
      <c r="AP67" s="1069">
        <f>AO67*('Ввод исходных данных'!$D$83-AM67)</f>
        <v>1094.8</v>
      </c>
      <c r="AQ67" s="1064">
        <v>-11.4</v>
      </c>
      <c r="AR67" s="1064"/>
      <c r="AS67" s="1064">
        <f t="shared" si="8"/>
        <v>31</v>
      </c>
      <c r="AT67" s="1064">
        <f>AS67*('Ввод исходных данных'!$D$83-AQ67)</f>
        <v>911.4</v>
      </c>
      <c r="AU67" s="1070">
        <v>1.4</v>
      </c>
      <c r="AV67" s="1070"/>
      <c r="AW67" s="1070">
        <f t="shared" si="9"/>
        <v>30</v>
      </c>
      <c r="AX67" s="1070">
        <f>AW67*('Ввод исходных данных'!$D$83-AU67)</f>
        <v>498.00000000000006</v>
      </c>
      <c r="AY67" s="1071">
        <v>9.6</v>
      </c>
      <c r="AZ67" s="1071"/>
      <c r="BA67" s="1071">
        <f t="shared" si="10"/>
        <v>7.5</v>
      </c>
      <c r="BB67" s="1071">
        <f>BA67*('Ввод исходных данных'!$D$83-AY67)</f>
        <v>63</v>
      </c>
      <c r="BC67" s="1072">
        <v>16.2</v>
      </c>
      <c r="BD67" s="1072"/>
      <c r="BE67" s="1072">
        <f t="shared" si="2"/>
        <v>0</v>
      </c>
      <c r="BF67" s="1073">
        <f>BE67*('Ввод исходных данных'!$D$83-BC67)</f>
        <v>0</v>
      </c>
    </row>
    <row r="68" spans="2:58" ht="15.75" customHeight="1" x14ac:dyDescent="0.25">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6759.2</v>
      </c>
      <c r="J68" s="1059" t="str">
        <f t="shared" si="1"/>
        <v>6000-7000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124.8</v>
      </c>
      <c r="W68" s="1065">
        <v>-0.6</v>
      </c>
      <c r="X68" s="1065"/>
      <c r="Y68" s="1065">
        <f t="shared" si="6"/>
        <v>31</v>
      </c>
      <c r="Z68" s="1065">
        <f>Y68*('Ввод исходных данных'!$D$83-W68)</f>
        <v>576.6</v>
      </c>
      <c r="AA68" s="1066">
        <v>-13</v>
      </c>
      <c r="AB68" s="1066"/>
      <c r="AC68" s="1066">
        <f t="shared" si="7"/>
        <v>30</v>
      </c>
      <c r="AD68" s="1066">
        <f>AC68*('Ввод исходных данных'!$D$83-AA68)</f>
        <v>930</v>
      </c>
      <c r="AE68" s="1067">
        <v>-21.3</v>
      </c>
      <c r="AF68" s="1067"/>
      <c r="AG68" s="1067">
        <v>31</v>
      </c>
      <c r="AH68" s="1067">
        <f>AG68*('Ввод исходных данных'!$D$83-AE68)</f>
        <v>1218.3</v>
      </c>
      <c r="AI68" s="1068">
        <v>-23.3</v>
      </c>
      <c r="AJ68" s="1068"/>
      <c r="AK68" s="1068">
        <v>31</v>
      </c>
      <c r="AL68" s="1068">
        <f>AK68*('Ввод исходных данных'!$D$83-AI68)</f>
        <v>1280.3</v>
      </c>
      <c r="AM68" s="1069">
        <v>-20.399999999999999</v>
      </c>
      <c r="AN68" s="1069"/>
      <c r="AO68" s="1069">
        <v>28</v>
      </c>
      <c r="AP68" s="1069">
        <f>AO68*('Ввод исходных данных'!$D$83-AM68)</f>
        <v>1075.2</v>
      </c>
      <c r="AQ68" s="1064">
        <v>-11.5</v>
      </c>
      <c r="AR68" s="1064"/>
      <c r="AS68" s="1064">
        <f t="shared" si="8"/>
        <v>31</v>
      </c>
      <c r="AT68" s="1064">
        <f>AS68*('Ввод исходных данных'!$D$83-AQ68)</f>
        <v>914.5</v>
      </c>
      <c r="AU68" s="1070">
        <v>0.4</v>
      </c>
      <c r="AV68" s="1070"/>
      <c r="AW68" s="1070">
        <f t="shared" si="9"/>
        <v>30</v>
      </c>
      <c r="AX68" s="1070">
        <f>AW68*('Ввод исходных данных'!$D$83-AU68)</f>
        <v>528</v>
      </c>
      <c r="AY68" s="1071">
        <v>8.8000000000000007</v>
      </c>
      <c r="AZ68" s="1071"/>
      <c r="BA68" s="1071">
        <f t="shared" si="10"/>
        <v>13</v>
      </c>
      <c r="BB68" s="1071">
        <f>BA68*('Ввод исходных данных'!$D$83-AY68)</f>
        <v>119.6</v>
      </c>
      <c r="BC68" s="1072">
        <v>15.6</v>
      </c>
      <c r="BD68" s="1072"/>
      <c r="BE68" s="1072">
        <f t="shared" si="2"/>
        <v>0</v>
      </c>
      <c r="BF68" s="1073">
        <f>BE68*('Ввод исходных данных'!$D$83-BC68)</f>
        <v>0</v>
      </c>
    </row>
    <row r="69" spans="2:58" ht="15.75" customHeight="1" x14ac:dyDescent="0.25">
      <c r="B69" s="1052" t="s">
        <v>255</v>
      </c>
      <c r="C69" s="1052" t="s">
        <v>430</v>
      </c>
      <c r="D69" s="1053" t="str">
        <f t="shared" si="0"/>
        <v>Забайкальский крайАкша</v>
      </c>
      <c r="E69" s="1054">
        <v>237</v>
      </c>
      <c r="F69" s="1055">
        <v>-9.6</v>
      </c>
      <c r="G69" s="1055">
        <v>-34</v>
      </c>
      <c r="H69" s="1057">
        <v>5.2</v>
      </c>
      <c r="I69" s="1058">
        <f>E69*('Ввод исходных данных'!$D$83-F69)</f>
        <v>6541.2000000000007</v>
      </c>
      <c r="J69" s="1059" t="str">
        <f t="shared" si="1"/>
        <v>6000-7000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120</v>
      </c>
      <c r="W69" s="1065">
        <v>-0.1</v>
      </c>
      <c r="X69" s="1065"/>
      <c r="Y69" s="1065">
        <f t="shared" si="6"/>
        <v>31</v>
      </c>
      <c r="Z69" s="1065">
        <f>Y69*('Ввод исходных данных'!$D$83-W69)</f>
        <v>561.1</v>
      </c>
      <c r="AA69" s="1066">
        <v>-12.1</v>
      </c>
      <c r="AB69" s="1066"/>
      <c r="AC69" s="1066">
        <f t="shared" si="7"/>
        <v>30</v>
      </c>
      <c r="AD69" s="1066">
        <f>AC69*('Ввод исходных данных'!$D$83-AA69)</f>
        <v>903</v>
      </c>
      <c r="AE69" s="1067">
        <v>-20.3</v>
      </c>
      <c r="AF69" s="1067"/>
      <c r="AG69" s="1067">
        <v>31</v>
      </c>
      <c r="AH69" s="1067">
        <f>AG69*('Ввод исходных данных'!$D$83-AE69)</f>
        <v>1187.3</v>
      </c>
      <c r="AI69" s="1068">
        <v>-22.6</v>
      </c>
      <c r="AJ69" s="1068"/>
      <c r="AK69" s="1068">
        <v>31</v>
      </c>
      <c r="AL69" s="1068">
        <f>AK69*('Ввод исходных данных'!$D$83-AI69)</f>
        <v>1258.6000000000001</v>
      </c>
      <c r="AM69" s="1069">
        <v>-19.100000000000001</v>
      </c>
      <c r="AN69" s="1069"/>
      <c r="AO69" s="1069">
        <v>28</v>
      </c>
      <c r="AP69" s="1069">
        <f>AO69*('Ввод исходных данных'!$D$83-AM69)</f>
        <v>1038.8</v>
      </c>
      <c r="AQ69" s="1064">
        <v>-9.4</v>
      </c>
      <c r="AR69" s="1064"/>
      <c r="AS69" s="1064">
        <f t="shared" si="8"/>
        <v>31</v>
      </c>
      <c r="AT69" s="1064">
        <f>AS69*('Ввод исходных данных'!$D$83-AQ69)</f>
        <v>849.4</v>
      </c>
      <c r="AU69" s="1070">
        <v>1</v>
      </c>
      <c r="AV69" s="1070"/>
      <c r="AW69" s="1070">
        <f t="shared" si="9"/>
        <v>30</v>
      </c>
      <c r="AX69" s="1070">
        <f>AW69*('Ввод исходных данных'!$D$83-AU69)</f>
        <v>510</v>
      </c>
      <c r="AY69" s="1071">
        <v>9</v>
      </c>
      <c r="AZ69" s="1071"/>
      <c r="BA69" s="1071">
        <f t="shared" si="10"/>
        <v>12.5</v>
      </c>
      <c r="BB69" s="1071">
        <f>BA69*('Ввод исходных данных'!$D$83-AY69)</f>
        <v>112.5</v>
      </c>
      <c r="BC69" s="1072">
        <v>15.4</v>
      </c>
      <c r="BD69" s="1072"/>
      <c r="BE69" s="1072">
        <f t="shared" si="2"/>
        <v>0</v>
      </c>
      <c r="BF69" s="1073">
        <f>BE69*('Ввод исходных данных'!$D$83-BC69)</f>
        <v>0</v>
      </c>
    </row>
    <row r="70" spans="2:58" ht="15.75" customHeight="1" x14ac:dyDescent="0.25">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7500</v>
      </c>
      <c r="J70" s="1059" t="str">
        <f t="shared" si="1"/>
        <v>7000-8000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209</v>
      </c>
      <c r="W70" s="1065">
        <v>-2.4</v>
      </c>
      <c r="X70" s="1065"/>
      <c r="Y70" s="1065">
        <f t="shared" si="6"/>
        <v>31</v>
      </c>
      <c r="Z70" s="1065">
        <f>Y70*('Ввод исходных данных'!$D$83-W70)</f>
        <v>632.4</v>
      </c>
      <c r="AA70" s="1066">
        <v>-15.5</v>
      </c>
      <c r="AB70" s="1066"/>
      <c r="AC70" s="1066">
        <f t="shared" si="7"/>
        <v>30</v>
      </c>
      <c r="AD70" s="1066">
        <f>AC70*('Ввод исходных данных'!$D$83-AA70)</f>
        <v>1005</v>
      </c>
      <c r="AE70" s="1067">
        <v>-24.6</v>
      </c>
      <c r="AF70" s="1067"/>
      <c r="AG70" s="1067">
        <v>31</v>
      </c>
      <c r="AH70" s="1067">
        <f>AG70*('Ввод исходных данных'!$D$83-AE70)</f>
        <v>1320.6000000000001</v>
      </c>
      <c r="AI70" s="1068">
        <v>-26.8</v>
      </c>
      <c r="AJ70" s="1068"/>
      <c r="AK70" s="1068">
        <v>31</v>
      </c>
      <c r="AL70" s="1068">
        <f>AK70*('Ввод исходных данных'!$D$83-AI70)</f>
        <v>1388.8</v>
      </c>
      <c r="AM70" s="1069">
        <v>-23.5</v>
      </c>
      <c r="AN70" s="1069"/>
      <c r="AO70" s="1069">
        <v>28</v>
      </c>
      <c r="AP70" s="1069">
        <f>AO70*('Ввод исходных данных'!$D$83-AM70)</f>
        <v>1162</v>
      </c>
      <c r="AQ70" s="1064">
        <v>-13.9</v>
      </c>
      <c r="AR70" s="1064"/>
      <c r="AS70" s="1064">
        <f t="shared" si="8"/>
        <v>31</v>
      </c>
      <c r="AT70" s="1064">
        <f>AS70*('Ввод исходных данных'!$D$83-AQ70)</f>
        <v>988.9</v>
      </c>
      <c r="AU70" s="1070">
        <v>-1.4</v>
      </c>
      <c r="AV70" s="1070"/>
      <c r="AW70" s="1070">
        <f t="shared" si="9"/>
        <v>30</v>
      </c>
      <c r="AX70" s="1070">
        <f>AW70*('Ввод исходных данных'!$D$83-AU70)</f>
        <v>582</v>
      </c>
      <c r="AY70" s="1071">
        <v>7.4</v>
      </c>
      <c r="AZ70" s="1071"/>
      <c r="BA70" s="1071">
        <f t="shared" si="10"/>
        <v>19</v>
      </c>
      <c r="BB70" s="1071">
        <f>BA70*('Ввод исходных данных'!$D$83-AY70)</f>
        <v>201.4</v>
      </c>
      <c r="BC70" s="1072">
        <v>14.1</v>
      </c>
      <c r="BD70" s="1072"/>
      <c r="BE70" s="1072">
        <f t="shared" si="2"/>
        <v>0</v>
      </c>
      <c r="BF70" s="1073">
        <f>BE70*('Ввод исходных данных'!$D$83-BC70)</f>
        <v>0</v>
      </c>
    </row>
    <row r="71" spans="2:58" ht="15.75" customHeight="1" x14ac:dyDescent="0.25">
      <c r="B71" s="1052" t="s">
        <v>255</v>
      </c>
      <c r="C71" s="1052" t="s">
        <v>431</v>
      </c>
      <c r="D71" s="1053" t="str">
        <f t="shared" si="0"/>
        <v>Забайкальский крайБорзя</v>
      </c>
      <c r="E71" s="1054">
        <v>232</v>
      </c>
      <c r="F71" s="1055">
        <v>-12.4</v>
      </c>
      <c r="G71" s="1055">
        <v>-38</v>
      </c>
      <c r="H71" s="1057">
        <v>1.9</v>
      </c>
      <c r="I71" s="1058">
        <f>E71*('Ввод исходных данных'!$D$83-F71)</f>
        <v>7052.7999999999993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87</v>
      </c>
      <c r="W71" s="1065">
        <v>-0.4</v>
      </c>
      <c r="X71" s="1065"/>
      <c r="Y71" s="1065">
        <f t="shared" si="6"/>
        <v>31</v>
      </c>
      <c r="Z71" s="1065">
        <f>Y71*('Ввод исходных данных'!$D$83-W71)</f>
        <v>570.4</v>
      </c>
      <c r="AA71" s="1066">
        <v>-13.5</v>
      </c>
      <c r="AB71" s="1066"/>
      <c r="AC71" s="1066">
        <f t="shared" si="7"/>
        <v>30</v>
      </c>
      <c r="AD71" s="1066">
        <f>AC71*('Ввод исходных данных'!$D$83-AA71)</f>
        <v>945</v>
      </c>
      <c r="AE71" s="1067">
        <v>-23.4</v>
      </c>
      <c r="AF71" s="1067"/>
      <c r="AG71" s="1067">
        <v>31</v>
      </c>
      <c r="AH71" s="1067">
        <f>AG71*('Ввод исходных данных'!$D$83-AE71)</f>
        <v>1283.3999999999999</v>
      </c>
      <c r="AI71" s="1068">
        <v>-26.4</v>
      </c>
      <c r="AJ71" s="1068"/>
      <c r="AK71" s="1068">
        <v>31</v>
      </c>
      <c r="AL71" s="1068">
        <f>AK71*('Ввод исходных данных'!$D$83-AI71)</f>
        <v>1376.3999999999999</v>
      </c>
      <c r="AM71" s="1069">
        <v>-22</v>
      </c>
      <c r="AN71" s="1069"/>
      <c r="AO71" s="1069">
        <v>28</v>
      </c>
      <c r="AP71" s="1069">
        <f>AO71*('Ввод исходных данных'!$D$83-AM71)</f>
        <v>1120</v>
      </c>
      <c r="AQ71" s="1064">
        <v>-10.9</v>
      </c>
      <c r="AR71" s="1064"/>
      <c r="AS71" s="1064">
        <f t="shared" si="8"/>
        <v>31</v>
      </c>
      <c r="AT71" s="1064">
        <f>AS71*('Ввод исходных данных'!$D$83-AQ71)</f>
        <v>895.9</v>
      </c>
      <c r="AU71" s="1070">
        <v>1.3</v>
      </c>
      <c r="AV71" s="1070"/>
      <c r="AW71" s="1070">
        <f t="shared" si="9"/>
        <v>30</v>
      </c>
      <c r="AX71" s="1070">
        <f>AW71*('Ввод исходных данных'!$D$83-AU71)</f>
        <v>501</v>
      </c>
      <c r="AY71" s="1071">
        <v>9.9</v>
      </c>
      <c r="AZ71" s="1071"/>
      <c r="BA71" s="1071">
        <f t="shared" si="10"/>
        <v>10</v>
      </c>
      <c r="BB71" s="1071">
        <f>BA71*('Ввод исходных данных'!$D$83-AY71)</f>
        <v>81</v>
      </c>
      <c r="BC71" s="1072">
        <v>16.8</v>
      </c>
      <c r="BD71" s="1072"/>
      <c r="BE71" s="1072">
        <f t="shared" si="2"/>
        <v>0</v>
      </c>
      <c r="BF71" s="1073">
        <f>BE71*('Ввод исходных данных'!$D$83-BC71)</f>
        <v>0</v>
      </c>
    </row>
    <row r="72" spans="2:58" ht="15.75" customHeight="1" x14ac:dyDescent="0.25">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6792.5</v>
      </c>
      <c r="J72" s="1059" t="str">
        <f t="shared" si="1"/>
        <v>6000-7000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192.5</v>
      </c>
      <c r="W72" s="1065">
        <v>-1.4</v>
      </c>
      <c r="X72" s="1065"/>
      <c r="Y72" s="1065">
        <f t="shared" si="6"/>
        <v>31</v>
      </c>
      <c r="Z72" s="1065">
        <f>Y72*('Ввод исходных данных'!$D$83-W72)</f>
        <v>601.4</v>
      </c>
      <c r="AA72" s="1066">
        <v>-12.6</v>
      </c>
      <c r="AB72" s="1066"/>
      <c r="AC72" s="1066">
        <f t="shared" si="7"/>
        <v>30</v>
      </c>
      <c r="AD72" s="1066">
        <f>AC72*('Ввод исходных данных'!$D$83-AA72)</f>
        <v>918</v>
      </c>
      <c r="AE72" s="1067">
        <v>-19.899999999999999</v>
      </c>
      <c r="AF72" s="1067"/>
      <c r="AG72" s="1067">
        <v>31</v>
      </c>
      <c r="AH72" s="1067">
        <f>AG72*('Ввод исходных данных'!$D$83-AE72)</f>
        <v>1174.8999999999999</v>
      </c>
      <c r="AI72" s="1068">
        <v>-22</v>
      </c>
      <c r="AJ72" s="1068"/>
      <c r="AK72" s="1068">
        <v>31</v>
      </c>
      <c r="AL72" s="1068">
        <f>AK72*('Ввод исходных данных'!$D$83-AI72)</f>
        <v>1240</v>
      </c>
      <c r="AM72" s="1069">
        <v>-19.600000000000001</v>
      </c>
      <c r="AN72" s="1069"/>
      <c r="AO72" s="1069">
        <v>28</v>
      </c>
      <c r="AP72" s="1069">
        <f>AO72*('Ввод исходных данных'!$D$83-AM72)</f>
        <v>1052.8</v>
      </c>
      <c r="AQ72" s="1064">
        <v>-10.4</v>
      </c>
      <c r="AR72" s="1064"/>
      <c r="AS72" s="1064">
        <f t="shared" si="8"/>
        <v>31</v>
      </c>
      <c r="AT72" s="1064">
        <f>AS72*('Ввод исходных данных'!$D$83-AQ72)</f>
        <v>880.4</v>
      </c>
      <c r="AU72" s="1070">
        <v>-0.4</v>
      </c>
      <c r="AV72" s="1070"/>
      <c r="AW72" s="1070">
        <f t="shared" si="9"/>
        <v>30</v>
      </c>
      <c r="AX72" s="1070">
        <f>AW72*('Ввод исходных данных'!$D$83-AU72)</f>
        <v>552</v>
      </c>
      <c r="AY72" s="1071">
        <v>8</v>
      </c>
      <c r="AZ72" s="1071"/>
      <c r="BA72" s="1071">
        <f t="shared" si="10"/>
        <v>17.5</v>
      </c>
      <c r="BB72" s="1071">
        <f>BA72*('Ввод исходных данных'!$D$83-AY72)</f>
        <v>175</v>
      </c>
      <c r="BC72" s="1072">
        <v>14.4</v>
      </c>
      <c r="BD72" s="1072"/>
      <c r="BE72" s="1072">
        <f t="shared" si="2"/>
        <v>0</v>
      </c>
      <c r="BF72" s="1073">
        <f>BE72*('Ввод исходных данных'!$D$83-BC72)</f>
        <v>0</v>
      </c>
    </row>
    <row r="73" spans="2:58" ht="15.75" customHeight="1" x14ac:dyDescent="0.25">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8815.0999999999985</v>
      </c>
      <c r="J73" s="1059" t="str">
        <f t="shared" ref="J73:J136" si="12">CONCATENATE(ROUNDDOWN(I73/1000,0)*1000,"-",ROUNDUP(I73/1000,0)*1000)</f>
        <v>8000-9000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276.75</v>
      </c>
      <c r="W73" s="1065">
        <v>-5.8</v>
      </c>
      <c r="X73" s="1065"/>
      <c r="Y73" s="1065">
        <f t="shared" si="6"/>
        <v>31</v>
      </c>
      <c r="Z73" s="1065">
        <f>Y73*('Ввод исходных данных'!$D$83-W73)</f>
        <v>737.80000000000007</v>
      </c>
      <c r="AA73" s="1066">
        <v>-21.7</v>
      </c>
      <c r="AB73" s="1066"/>
      <c r="AC73" s="1066">
        <f t="shared" si="7"/>
        <v>30</v>
      </c>
      <c r="AD73" s="1066">
        <f>AC73*('Ввод исходных данных'!$D$83-AA73)</f>
        <v>1191</v>
      </c>
      <c r="AE73" s="1067">
        <v>-32.5</v>
      </c>
      <c r="AF73" s="1067"/>
      <c r="AG73" s="1067">
        <v>31</v>
      </c>
      <c r="AH73" s="1067">
        <f>AG73*('Ввод исходных данных'!$D$83-AE73)</f>
        <v>1565.5</v>
      </c>
      <c r="AI73" s="1068">
        <v>-34.299999999999997</v>
      </c>
      <c r="AJ73" s="1068"/>
      <c r="AK73" s="1068">
        <v>31</v>
      </c>
      <c r="AL73" s="1068">
        <f>AK73*('Ввод исходных данных'!$D$83-AI73)</f>
        <v>1621.3</v>
      </c>
      <c r="AM73" s="1069">
        <v>-27.6</v>
      </c>
      <c r="AN73" s="1069"/>
      <c r="AO73" s="1069">
        <v>28</v>
      </c>
      <c r="AP73" s="1069">
        <f>AO73*('Ввод исходных данных'!$D$83-AM73)</f>
        <v>1276.8</v>
      </c>
      <c r="AQ73" s="1064">
        <v>-16.2</v>
      </c>
      <c r="AR73" s="1064"/>
      <c r="AS73" s="1064">
        <f t="shared" si="8"/>
        <v>31</v>
      </c>
      <c r="AT73" s="1064">
        <f>AS73*('Ввод исходных данных'!$D$83-AQ73)</f>
        <v>1060.2</v>
      </c>
      <c r="AU73" s="1070">
        <v>-2.7</v>
      </c>
      <c r="AV73" s="1070"/>
      <c r="AW73" s="1070">
        <f t="shared" si="9"/>
        <v>30</v>
      </c>
      <c r="AX73" s="1070">
        <f>AW73*('Ввод исходных данных'!$D$83-AU73)</f>
        <v>621</v>
      </c>
      <c r="AY73" s="1071">
        <v>6.6</v>
      </c>
      <c r="AZ73" s="1071"/>
      <c r="BA73" s="1071">
        <f t="shared" si="10"/>
        <v>22.5</v>
      </c>
      <c r="BB73" s="1071">
        <f>BA73*('Ввод исходных данных'!$D$83-AY73)</f>
        <v>256.5</v>
      </c>
      <c r="BC73" s="1072">
        <v>13.9</v>
      </c>
      <c r="BD73" s="1072"/>
      <c r="BE73" s="1072">
        <f t="shared" si="2"/>
        <v>0</v>
      </c>
      <c r="BF73" s="1073">
        <f>BE73*('Ввод исходных данных'!$D$83-BC73)</f>
        <v>0</v>
      </c>
    </row>
    <row r="74" spans="2:58" ht="15.75" customHeight="1" x14ac:dyDescent="0.25">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7008</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142.79999999999998</v>
      </c>
      <c r="W74" s="1065">
        <v>-0.9</v>
      </c>
      <c r="X74" s="1065"/>
      <c r="Y74" s="1065">
        <f t="shared" si="6"/>
        <v>31</v>
      </c>
      <c r="Z74" s="1065">
        <f>Y74*('Ввод исходных данных'!$D$83-W74)</f>
        <v>585.9</v>
      </c>
      <c r="AA74" s="1066">
        <v>-12.6</v>
      </c>
      <c r="AB74" s="1066"/>
      <c r="AC74" s="1066">
        <f t="shared" si="7"/>
        <v>30</v>
      </c>
      <c r="AD74" s="1066">
        <f>AC74*('Ввод исходных данных'!$D$83-AA74)</f>
        <v>918</v>
      </c>
      <c r="AE74" s="1067">
        <v>-22.1</v>
      </c>
      <c r="AF74" s="1067"/>
      <c r="AG74" s="1067">
        <v>31</v>
      </c>
      <c r="AH74" s="1067">
        <f>AG74*('Ввод исходных данных'!$D$83-AE74)</f>
        <v>1243.1000000000001</v>
      </c>
      <c r="AI74" s="1068">
        <v>-26</v>
      </c>
      <c r="AJ74" s="1068"/>
      <c r="AK74" s="1068">
        <v>31</v>
      </c>
      <c r="AL74" s="1068">
        <f>AK74*('Ввод исходных данных'!$D$83-AI74)</f>
        <v>1364</v>
      </c>
      <c r="AM74" s="1069">
        <v>-20.7</v>
      </c>
      <c r="AN74" s="1069"/>
      <c r="AO74" s="1069">
        <v>28</v>
      </c>
      <c r="AP74" s="1069">
        <f>AO74*('Ввод исходных данных'!$D$83-AM74)</f>
        <v>1083.6000000000001</v>
      </c>
      <c r="AQ74" s="1064">
        <v>-9.6999999999999993</v>
      </c>
      <c r="AR74" s="1064"/>
      <c r="AS74" s="1064">
        <f t="shared" si="8"/>
        <v>31</v>
      </c>
      <c r="AT74" s="1064">
        <f>AS74*('Ввод исходных данных'!$D$83-AQ74)</f>
        <v>858.69999999999993</v>
      </c>
      <c r="AU74" s="1070">
        <v>1.2</v>
      </c>
      <c r="AV74" s="1070"/>
      <c r="AW74" s="1070">
        <f t="shared" si="9"/>
        <v>30</v>
      </c>
      <c r="AX74" s="1070">
        <f>AW74*('Ввод исходных данных'!$D$83-AU74)</f>
        <v>504</v>
      </c>
      <c r="AY74" s="1071">
        <v>9.1</v>
      </c>
      <c r="AZ74" s="1071"/>
      <c r="BA74" s="1071">
        <f t="shared" si="10"/>
        <v>14</v>
      </c>
      <c r="BB74" s="1071">
        <f>BA74*('Ввод исходных данных'!$D$83-AY74)</f>
        <v>124.60000000000001</v>
      </c>
      <c r="BC74" s="1072">
        <v>15.2</v>
      </c>
      <c r="BD74" s="1072"/>
      <c r="BE74" s="1072">
        <f t="shared" ref="BE74:BE137" si="13">IF((E74-273)&gt;0,IF((E74-273)/2&gt;30,30,(E74-273)/2),0)</f>
        <v>0</v>
      </c>
      <c r="BF74" s="1073">
        <f>BE74*('Ввод исходных данных'!$D$83-BC74)</f>
        <v>0</v>
      </c>
    </row>
    <row r="75" spans="2:58" ht="15.75" customHeight="1" x14ac:dyDescent="0.25">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7950</v>
      </c>
      <c r="J75" s="1059" t="str">
        <f t="shared" si="12"/>
        <v>7000-8000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216.6</v>
      </c>
      <c r="W75" s="1065">
        <v>-4</v>
      </c>
      <c r="X75" s="1065"/>
      <c r="Y75" s="1065">
        <f t="shared" ref="Y75:Y138" si="17">IF((E75-151)&gt;0,IF((E75-151)/2&gt;31,31,(E75-151)/2),0)</f>
        <v>31</v>
      </c>
      <c r="Z75" s="1065">
        <f>Y75*('Ввод исходных данных'!$D$83-W75)</f>
        <v>682</v>
      </c>
      <c r="AA75" s="1066">
        <v>-18.7</v>
      </c>
      <c r="AB75" s="1066"/>
      <c r="AC75" s="1066">
        <f t="shared" ref="AC75:AC138" si="18">IF((E75-90)/2&gt;30,30,(E75-90)/2)</f>
        <v>30</v>
      </c>
      <c r="AD75" s="1066">
        <f>AC75*('Ввод исходных данных'!$D$83-AA75)</f>
        <v>1101</v>
      </c>
      <c r="AE75" s="1067">
        <v>-27.6</v>
      </c>
      <c r="AF75" s="1067"/>
      <c r="AG75" s="1067">
        <v>31</v>
      </c>
      <c r="AH75" s="1067">
        <f>AG75*('Ввод исходных данных'!$D$83-AE75)</f>
        <v>1413.6000000000001</v>
      </c>
      <c r="AI75" s="1068">
        <v>-28.5</v>
      </c>
      <c r="AJ75" s="1068"/>
      <c r="AK75" s="1068">
        <v>31</v>
      </c>
      <c r="AL75" s="1068">
        <f>AK75*('Ввод исходных данных'!$D$83-AI75)</f>
        <v>1441.5</v>
      </c>
      <c r="AM75" s="1069">
        <v>-23.5</v>
      </c>
      <c r="AN75" s="1069"/>
      <c r="AO75" s="1069">
        <v>28</v>
      </c>
      <c r="AP75" s="1069">
        <f>AO75*('Ввод исходных данных'!$D$83-AM75)</f>
        <v>1162</v>
      </c>
      <c r="AQ75" s="1064">
        <v>-13.4</v>
      </c>
      <c r="AR75" s="1064"/>
      <c r="AS75" s="1064">
        <f t="shared" ref="AS75:AS138" si="19">IF((E75-90)/2&gt;31,31,(E75-90)/2)</f>
        <v>31</v>
      </c>
      <c r="AT75" s="1064">
        <f>AS75*('Ввод исходных данных'!$D$83-AQ75)</f>
        <v>973.4</v>
      </c>
      <c r="AU75" s="1070">
        <v>-1.2</v>
      </c>
      <c r="AV75" s="1070"/>
      <c r="AW75" s="1070">
        <f t="shared" ref="AW75:AW138" si="20">IF((E75-151)&gt;0,IF((E75-151)/2&gt;30,30,(E75-151)/2),0)</f>
        <v>30</v>
      </c>
      <c r="AX75" s="1070">
        <f>AW75*('Ввод исходных данных'!$D$83-AU75)</f>
        <v>576</v>
      </c>
      <c r="AY75" s="1071">
        <v>7.5</v>
      </c>
      <c r="AZ75" s="1071"/>
      <c r="BA75" s="1071">
        <f t="shared" ref="BA75:BA138" si="21">IF((E75-212)&gt;0,IF((E75-212)/2&gt;31,31,(E75-212)/2),0)</f>
        <v>19</v>
      </c>
      <c r="BB75" s="1071">
        <f>BA75*('Ввод исходных данных'!$D$83-AY75)</f>
        <v>199.5</v>
      </c>
      <c r="BC75" s="1072">
        <v>14.2</v>
      </c>
      <c r="BD75" s="1072"/>
      <c r="BE75" s="1072">
        <f t="shared" si="13"/>
        <v>0</v>
      </c>
      <c r="BF75" s="1073">
        <f>BE75*('Ввод исходных данных'!$D$83-BC75)</f>
        <v>0</v>
      </c>
    </row>
    <row r="76" spans="2:58" ht="15.75" customHeight="1" x14ac:dyDescent="0.25">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7479.3</v>
      </c>
      <c r="J76" s="1059" t="str">
        <f t="shared" si="12"/>
        <v>7000-8000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94.5</v>
      </c>
      <c r="W76" s="1065">
        <v>-1</v>
      </c>
      <c r="X76" s="1065"/>
      <c r="Y76" s="1065">
        <f t="shared" si="17"/>
        <v>31</v>
      </c>
      <c r="Z76" s="1065">
        <f>Y76*('Ввод исходных данных'!$D$83-W76)</f>
        <v>589</v>
      </c>
      <c r="AA76" s="1066">
        <v>-16.7</v>
      </c>
      <c r="AB76" s="1066"/>
      <c r="AC76" s="1066">
        <f t="shared" si="18"/>
        <v>30</v>
      </c>
      <c r="AD76" s="1066">
        <f>AC76*('Ввод исходных данных'!$D$83-AA76)</f>
        <v>1041</v>
      </c>
      <c r="AE76" s="1067">
        <v>-28.2</v>
      </c>
      <c r="AF76" s="1067"/>
      <c r="AG76" s="1067">
        <v>31</v>
      </c>
      <c r="AH76" s="1067">
        <f>AG76*('Ввод исходных данных'!$D$83-AE76)</f>
        <v>1432.2</v>
      </c>
      <c r="AI76" s="1068">
        <v>-30.8</v>
      </c>
      <c r="AJ76" s="1068"/>
      <c r="AK76" s="1068">
        <v>31</v>
      </c>
      <c r="AL76" s="1068">
        <f>AK76*('Ввод исходных данных'!$D$83-AI76)</f>
        <v>1512.8</v>
      </c>
      <c r="AM76" s="1069">
        <v>-26.3</v>
      </c>
      <c r="AN76" s="1069"/>
      <c r="AO76" s="1069">
        <v>28</v>
      </c>
      <c r="AP76" s="1069">
        <f>AO76*('Ввод исходных данных'!$D$83-AM76)</f>
        <v>1240.3999999999999</v>
      </c>
      <c r="AQ76" s="1064">
        <v>-13.6</v>
      </c>
      <c r="AR76" s="1064"/>
      <c r="AS76" s="1064">
        <f t="shared" si="19"/>
        <v>31</v>
      </c>
      <c r="AT76" s="1064">
        <f>AS76*('Ввод исходных данных'!$D$83-AQ76)</f>
        <v>979.6</v>
      </c>
      <c r="AU76" s="1070">
        <v>0.8</v>
      </c>
      <c r="AV76" s="1070"/>
      <c r="AW76" s="1070">
        <f t="shared" si="20"/>
        <v>30</v>
      </c>
      <c r="AX76" s="1070">
        <f>AW76*('Ввод исходных данных'!$D$83-AU76)</f>
        <v>516</v>
      </c>
      <c r="AY76" s="1071">
        <v>9.8000000000000007</v>
      </c>
      <c r="AZ76" s="1071"/>
      <c r="BA76" s="1071">
        <f t="shared" si="21"/>
        <v>10.5</v>
      </c>
      <c r="BB76" s="1071">
        <f>BA76*('Ввод исходных данных'!$D$83-AY76)</f>
        <v>86.1</v>
      </c>
      <c r="BC76" s="1072">
        <v>17</v>
      </c>
      <c r="BD76" s="1072"/>
      <c r="BE76" s="1072">
        <f t="shared" si="13"/>
        <v>0</v>
      </c>
      <c r="BF76" s="1073">
        <f>BE76*('Ввод исходных данных'!$D$83-BC76)</f>
        <v>0</v>
      </c>
    </row>
    <row r="77" spans="2:58" ht="15.75" customHeight="1" x14ac:dyDescent="0.25">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7153.0999999999995</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96.6</v>
      </c>
      <c r="W77" s="1065">
        <v>-0.6</v>
      </c>
      <c r="X77" s="1065"/>
      <c r="Y77" s="1065">
        <f t="shared" si="17"/>
        <v>31</v>
      </c>
      <c r="Z77" s="1065">
        <f>Y77*('Ввод исходных данных'!$D$83-W77)</f>
        <v>576.6</v>
      </c>
      <c r="AA77" s="1066">
        <v>-14.7</v>
      </c>
      <c r="AB77" s="1066"/>
      <c r="AC77" s="1066">
        <f t="shared" si="18"/>
        <v>30</v>
      </c>
      <c r="AD77" s="1066">
        <f>AC77*('Ввод исходных данных'!$D$83-AA77)</f>
        <v>981.00000000000011</v>
      </c>
      <c r="AE77" s="1067">
        <v>-24.7</v>
      </c>
      <c r="AF77" s="1067"/>
      <c r="AG77" s="1067">
        <v>31</v>
      </c>
      <c r="AH77" s="1067">
        <f>AG77*('Ввод исходных данных'!$D$83-AE77)</f>
        <v>1323.7</v>
      </c>
      <c r="AI77" s="1068">
        <v>-26.9</v>
      </c>
      <c r="AJ77" s="1068"/>
      <c r="AK77" s="1068">
        <v>31</v>
      </c>
      <c r="AL77" s="1068">
        <f>AK77*('Ввод исходных данных'!$D$83-AI77)</f>
        <v>1391.8999999999999</v>
      </c>
      <c r="AM77" s="1069">
        <v>-22</v>
      </c>
      <c r="AN77" s="1069"/>
      <c r="AO77" s="1069">
        <v>28</v>
      </c>
      <c r="AP77" s="1069">
        <f>AO77*('Ввод исходных данных'!$D$83-AM77)</f>
        <v>1120</v>
      </c>
      <c r="AQ77" s="1064">
        <v>-11</v>
      </c>
      <c r="AR77" s="1064"/>
      <c r="AS77" s="1064">
        <f t="shared" si="19"/>
        <v>31</v>
      </c>
      <c r="AT77" s="1064">
        <f>AS77*('Ввод исходных данных'!$D$83-AQ77)</f>
        <v>899</v>
      </c>
      <c r="AU77" s="1070">
        <v>1.3</v>
      </c>
      <c r="AV77" s="1070"/>
      <c r="AW77" s="1070">
        <f t="shared" si="20"/>
        <v>30</v>
      </c>
      <c r="AX77" s="1070">
        <f>AW77*('Ввод исходных данных'!$D$83-AU77)</f>
        <v>501</v>
      </c>
      <c r="AY77" s="1071">
        <v>9.8000000000000007</v>
      </c>
      <c r="AZ77" s="1071"/>
      <c r="BA77" s="1071">
        <f t="shared" si="21"/>
        <v>10.5</v>
      </c>
      <c r="BB77" s="1071">
        <f>BA77*('Ввод исходных данных'!$D$83-AY77)</f>
        <v>86.1</v>
      </c>
      <c r="BC77" s="1072">
        <v>16</v>
      </c>
      <c r="BD77" s="1072"/>
      <c r="BE77" s="1072">
        <f t="shared" si="13"/>
        <v>0</v>
      </c>
      <c r="BF77" s="1073">
        <f>BE77*('Ввод исходных данных'!$D$83-BC77)</f>
        <v>0</v>
      </c>
    </row>
    <row r="78" spans="2:58" ht="15.75" customHeight="1" x14ac:dyDescent="0.25">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9322.4</v>
      </c>
      <c r="J78" s="1059" t="str">
        <f t="shared" si="12"/>
        <v>9000-10000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398.25</v>
      </c>
      <c r="W78" s="1065">
        <v>-7.5</v>
      </c>
      <c r="X78" s="1065"/>
      <c r="Y78" s="1065">
        <f t="shared" si="17"/>
        <v>31</v>
      </c>
      <c r="Z78" s="1065">
        <f>Y78*('Ввод исходных данных'!$D$83-W78)</f>
        <v>790.5</v>
      </c>
      <c r="AA78" s="1066">
        <v>-23.7</v>
      </c>
      <c r="AB78" s="1066"/>
      <c r="AC78" s="1066">
        <f t="shared" si="18"/>
        <v>30</v>
      </c>
      <c r="AD78" s="1066">
        <f>AC78*('Ввод исходных данных'!$D$83-AA78)</f>
        <v>1251</v>
      </c>
      <c r="AE78" s="1067">
        <v>-34.4</v>
      </c>
      <c r="AF78" s="1067"/>
      <c r="AG78" s="1067">
        <v>31</v>
      </c>
      <c r="AH78" s="1067">
        <f>AG78*('Ввод исходных данных'!$D$83-AE78)</f>
        <v>1624.3999999999999</v>
      </c>
      <c r="AI78" s="1068">
        <v>-36.299999999999997</v>
      </c>
      <c r="AJ78" s="1068"/>
      <c r="AK78" s="1068">
        <v>31</v>
      </c>
      <c r="AL78" s="1068">
        <f>AK78*('Ввод исходных данных'!$D$83-AI78)</f>
        <v>1683.3</v>
      </c>
      <c r="AM78" s="1069">
        <v>-30.7</v>
      </c>
      <c r="AN78" s="1069"/>
      <c r="AO78" s="1069">
        <v>28</v>
      </c>
      <c r="AP78" s="1069">
        <f>AO78*('Ввод исходных данных'!$D$83-AM78)</f>
        <v>1363.6000000000001</v>
      </c>
      <c r="AQ78" s="1064">
        <v>-19.100000000000001</v>
      </c>
      <c r="AR78" s="1064"/>
      <c r="AS78" s="1064">
        <f t="shared" si="19"/>
        <v>31</v>
      </c>
      <c r="AT78" s="1064">
        <f>AS78*('Ввод исходных данных'!$D$83-AQ78)</f>
        <v>1150.1000000000001</v>
      </c>
      <c r="AU78" s="1070">
        <v>-5.7</v>
      </c>
      <c r="AV78" s="1070"/>
      <c r="AW78" s="1070">
        <f t="shared" si="20"/>
        <v>30</v>
      </c>
      <c r="AX78" s="1070">
        <f>AW78*('Ввод исходных данных'!$D$83-AU78)</f>
        <v>711</v>
      </c>
      <c r="AY78" s="1071">
        <v>4.5</v>
      </c>
      <c r="AZ78" s="1071"/>
      <c r="BA78" s="1071">
        <f t="shared" si="21"/>
        <v>29.5</v>
      </c>
      <c r="BB78" s="1071">
        <f>BA78*('Ввод исходных данных'!$D$83-AY78)</f>
        <v>398.25</v>
      </c>
      <c r="BC78" s="1072">
        <v>12.1</v>
      </c>
      <c r="BD78" s="1072"/>
      <c r="BE78" s="1072">
        <f t="shared" si="13"/>
        <v>0</v>
      </c>
      <c r="BF78" s="1073">
        <f>BE78*('Ввод исходных данных'!$D$83-BC78)</f>
        <v>0</v>
      </c>
    </row>
    <row r="79" spans="2:58" ht="15.75" customHeight="1" x14ac:dyDescent="0.25">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8331.6</v>
      </c>
      <c r="J79" s="1059" t="str">
        <f t="shared" si="12"/>
        <v>8000-9000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312.5</v>
      </c>
      <c r="W79" s="1065">
        <v>-4.5</v>
      </c>
      <c r="X79" s="1065"/>
      <c r="Y79" s="1065">
        <f t="shared" si="17"/>
        <v>31</v>
      </c>
      <c r="Z79" s="1065">
        <f>Y79*('Ввод исходных данных'!$D$83-W79)</f>
        <v>697.5</v>
      </c>
      <c r="AA79" s="1066">
        <v>-19.2</v>
      </c>
      <c r="AB79" s="1066"/>
      <c r="AC79" s="1066">
        <f t="shared" si="18"/>
        <v>30</v>
      </c>
      <c r="AD79" s="1066">
        <f>AC79*('Ввод исходных данных'!$D$83-AA79)</f>
        <v>1116</v>
      </c>
      <c r="AE79" s="1067">
        <v>-29.3</v>
      </c>
      <c r="AF79" s="1067"/>
      <c r="AG79" s="1067">
        <v>31</v>
      </c>
      <c r="AH79" s="1067">
        <f>AG79*('Ввод исходных данных'!$D$83-AE79)</f>
        <v>1466.3</v>
      </c>
      <c r="AI79" s="1068">
        <v>-31</v>
      </c>
      <c r="AJ79" s="1068"/>
      <c r="AK79" s="1068">
        <v>31</v>
      </c>
      <c r="AL79" s="1068">
        <f>AK79*('Ввод исходных данных'!$D$83-AI79)</f>
        <v>1519</v>
      </c>
      <c r="AM79" s="1069">
        <v>-26.5</v>
      </c>
      <c r="AN79" s="1069"/>
      <c r="AO79" s="1069">
        <v>28</v>
      </c>
      <c r="AP79" s="1069">
        <f>AO79*('Ввод исходных данных'!$D$83-AM79)</f>
        <v>1246</v>
      </c>
      <c r="AQ79" s="1064">
        <v>-16</v>
      </c>
      <c r="AR79" s="1064"/>
      <c r="AS79" s="1064">
        <f t="shared" si="19"/>
        <v>31</v>
      </c>
      <c r="AT79" s="1064">
        <f>AS79*('Ввод исходных данных'!$D$83-AQ79)</f>
        <v>1054</v>
      </c>
      <c r="AU79" s="1070">
        <v>-3</v>
      </c>
      <c r="AV79" s="1070"/>
      <c r="AW79" s="1070">
        <f t="shared" si="20"/>
        <v>30</v>
      </c>
      <c r="AX79" s="1070">
        <f>AW79*('Ввод исходных данных'!$D$83-AU79)</f>
        <v>630</v>
      </c>
      <c r="AY79" s="1071">
        <v>6</v>
      </c>
      <c r="AZ79" s="1071"/>
      <c r="BA79" s="1071">
        <f t="shared" si="21"/>
        <v>25</v>
      </c>
      <c r="BB79" s="1071">
        <f>BA79*('Ввод исходных данных'!$D$83-AY79)</f>
        <v>300</v>
      </c>
      <c r="BC79" s="1072">
        <v>13.1</v>
      </c>
      <c r="BD79" s="1072"/>
      <c r="BE79" s="1072">
        <f t="shared" si="13"/>
        <v>0</v>
      </c>
      <c r="BF79" s="1073">
        <f>BE79*('Ввод исходных данных'!$D$83-BC79)</f>
        <v>0</v>
      </c>
    </row>
    <row r="80" spans="2:58" ht="15.75" customHeight="1" x14ac:dyDescent="0.25">
      <c r="B80" s="1076" t="s">
        <v>255</v>
      </c>
      <c r="C80" s="1076" t="s">
        <v>441</v>
      </c>
      <c r="D80" s="1053" t="str">
        <f t="shared" si="11"/>
        <v>Забайкальский крайТупик</v>
      </c>
      <c r="E80" s="1054">
        <v>260</v>
      </c>
      <c r="F80" s="1055">
        <v>-14.8</v>
      </c>
      <c r="G80" s="1055">
        <v>-44</v>
      </c>
      <c r="H80" s="1057">
        <v>3.6</v>
      </c>
      <c r="I80" s="1058">
        <f>E80*('Ввод исходных данных'!$D$83-F80)</f>
        <v>8528</v>
      </c>
      <c r="J80" s="1059" t="str">
        <f t="shared" si="12"/>
        <v>8000-9000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290.39999999999998</v>
      </c>
      <c r="W80" s="1065">
        <v>-5.0999999999999996</v>
      </c>
      <c r="X80" s="1065"/>
      <c r="Y80" s="1065">
        <f t="shared" si="17"/>
        <v>31</v>
      </c>
      <c r="Z80" s="1065">
        <f>Y80*('Ввод исходных данных'!$D$83-W80)</f>
        <v>716.1</v>
      </c>
      <c r="AA80" s="1066">
        <v>-20.5</v>
      </c>
      <c r="AB80" s="1066"/>
      <c r="AC80" s="1066">
        <f t="shared" si="18"/>
        <v>30</v>
      </c>
      <c r="AD80" s="1066">
        <f>AC80*('Ввод исходных данных'!$D$83-AA80)</f>
        <v>1155</v>
      </c>
      <c r="AE80" s="1067">
        <v>-30.8</v>
      </c>
      <c r="AF80" s="1067"/>
      <c r="AG80" s="1067">
        <v>31</v>
      </c>
      <c r="AH80" s="1067">
        <f>AG80*('Ввод исходных данных'!$D$83-AE80)</f>
        <v>1512.8</v>
      </c>
      <c r="AI80" s="1068">
        <v>-32.700000000000003</v>
      </c>
      <c r="AJ80" s="1068"/>
      <c r="AK80" s="1068">
        <v>31</v>
      </c>
      <c r="AL80" s="1068">
        <f>AK80*('Ввод исходных данных'!$D$83-AI80)</f>
        <v>1571.7</v>
      </c>
      <c r="AM80" s="1069">
        <v>-27.8</v>
      </c>
      <c r="AN80" s="1069"/>
      <c r="AO80" s="1069">
        <v>28</v>
      </c>
      <c r="AP80" s="1069">
        <f>AO80*('Ввод исходных данных'!$D$83-AM80)</f>
        <v>1282.3999999999999</v>
      </c>
      <c r="AQ80" s="1064">
        <v>-16.8</v>
      </c>
      <c r="AR80" s="1064"/>
      <c r="AS80" s="1064">
        <f t="shared" si="19"/>
        <v>31</v>
      </c>
      <c r="AT80" s="1064">
        <f>AS80*('Ввод исходных данных'!$D$83-AQ80)</f>
        <v>1078.8</v>
      </c>
      <c r="AU80" s="1070">
        <v>-3.6</v>
      </c>
      <c r="AV80" s="1070"/>
      <c r="AW80" s="1070">
        <f t="shared" si="20"/>
        <v>30</v>
      </c>
      <c r="AX80" s="1070">
        <f>AW80*('Ввод исходных данных'!$D$83-AU80)</f>
        <v>648</v>
      </c>
      <c r="AY80" s="1071">
        <v>6</v>
      </c>
      <c r="AZ80" s="1071"/>
      <c r="BA80" s="1071">
        <f t="shared" si="21"/>
        <v>24</v>
      </c>
      <c r="BB80" s="1071">
        <f>BA80*('Ввод исходных данных'!$D$83-AY80)</f>
        <v>288</v>
      </c>
      <c r="BC80" s="1072">
        <v>13.4</v>
      </c>
      <c r="BD80" s="1072"/>
      <c r="BE80" s="1072">
        <f t="shared" si="13"/>
        <v>0</v>
      </c>
      <c r="BF80" s="1073">
        <f>BE80*('Ввод исходных данных'!$D$83-BC80)</f>
        <v>0</v>
      </c>
    </row>
    <row r="81" spans="2:58" ht="15.75" customHeight="1" x14ac:dyDescent="0.25">
      <c r="B81" s="1052" t="s">
        <v>255</v>
      </c>
      <c r="C81" s="1052" t="s">
        <v>432</v>
      </c>
      <c r="D81" s="1053" t="str">
        <f t="shared" si="11"/>
        <v>Забайкальский крайЧара</v>
      </c>
      <c r="E81" s="1054">
        <v>263</v>
      </c>
      <c r="F81" s="1055">
        <v>-15.8</v>
      </c>
      <c r="G81" s="1055">
        <v>-45</v>
      </c>
      <c r="H81" s="1057">
        <v>1.6</v>
      </c>
      <c r="I81" s="1058">
        <f>E81*('Ввод исходных данных'!$D$83-F81)</f>
        <v>8889.4</v>
      </c>
      <c r="J81" s="1059" t="str">
        <f t="shared" si="12"/>
        <v>8000-9000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326.40000000000003</v>
      </c>
      <c r="W81" s="1065">
        <v>-6.1</v>
      </c>
      <c r="X81" s="1065"/>
      <c r="Y81" s="1065">
        <f t="shared" si="17"/>
        <v>31</v>
      </c>
      <c r="Z81" s="1065">
        <f>Y81*('Ввод исходных данных'!$D$83-W81)</f>
        <v>747.1</v>
      </c>
      <c r="AA81" s="1066">
        <v>-20.9</v>
      </c>
      <c r="AB81" s="1066"/>
      <c r="AC81" s="1066">
        <f t="shared" si="18"/>
        <v>30</v>
      </c>
      <c r="AD81" s="1066">
        <f>AC81*('Ввод исходных данных'!$D$83-AA81)</f>
        <v>1167</v>
      </c>
      <c r="AE81" s="1067">
        <v>-30.7</v>
      </c>
      <c r="AF81" s="1067"/>
      <c r="AG81" s="1067">
        <v>31</v>
      </c>
      <c r="AH81" s="1067">
        <f>AG81*('Ввод исходных данных'!$D$83-AE81)</f>
        <v>1509.7</v>
      </c>
      <c r="AI81" s="1068">
        <v>-32.799999999999997</v>
      </c>
      <c r="AJ81" s="1068"/>
      <c r="AK81" s="1068">
        <v>31</v>
      </c>
      <c r="AL81" s="1068">
        <f>AK81*('Ввод исходных данных'!$D$83-AI81)</f>
        <v>1574.8</v>
      </c>
      <c r="AM81" s="1069">
        <v>-28.3</v>
      </c>
      <c r="AN81" s="1069"/>
      <c r="AO81" s="1069">
        <v>28</v>
      </c>
      <c r="AP81" s="1069">
        <f>AO81*('Ввод исходных данных'!$D$83-AM81)</f>
        <v>1296.3999999999999</v>
      </c>
      <c r="AQ81" s="1064">
        <v>-17.3</v>
      </c>
      <c r="AR81" s="1064"/>
      <c r="AS81" s="1064">
        <f t="shared" si="19"/>
        <v>31</v>
      </c>
      <c r="AT81" s="1064">
        <f>AS81*('Ввод исходных данных'!$D$83-AQ81)</f>
        <v>1094.3</v>
      </c>
      <c r="AU81" s="1070">
        <v>-4.0999999999999996</v>
      </c>
      <c r="AV81" s="1070"/>
      <c r="AW81" s="1070">
        <f t="shared" si="20"/>
        <v>30</v>
      </c>
      <c r="AX81" s="1070">
        <f>AW81*('Ввод исходных данных'!$D$83-AU81)</f>
        <v>663</v>
      </c>
      <c r="AY81" s="1071">
        <v>5.2</v>
      </c>
      <c r="AZ81" s="1071"/>
      <c r="BA81" s="1071">
        <f t="shared" si="21"/>
        <v>25.5</v>
      </c>
      <c r="BB81" s="1071">
        <f>BA81*('Ввод исходных данных'!$D$83-AY81)</f>
        <v>326.40000000000003</v>
      </c>
      <c r="BC81" s="1072">
        <v>13.3</v>
      </c>
      <c r="BD81" s="1072"/>
      <c r="BE81" s="1072">
        <f t="shared" si="13"/>
        <v>0</v>
      </c>
      <c r="BF81" s="1073">
        <f>BE81*('Ввод исходных данных'!$D$83-BC81)</f>
        <v>0</v>
      </c>
    </row>
    <row r="82" spans="2:58" ht="15.75" customHeight="1" x14ac:dyDescent="0.25">
      <c r="B82" s="1076" t="s">
        <v>255</v>
      </c>
      <c r="C82" s="1076" t="s">
        <v>433</v>
      </c>
      <c r="D82" s="1053" t="str">
        <f t="shared" si="11"/>
        <v>Забайкальский крайЧита</v>
      </c>
      <c r="E82" s="1054">
        <v>238</v>
      </c>
      <c r="F82" s="1055">
        <v>-11.3</v>
      </c>
      <c r="G82" s="1055">
        <v>-38</v>
      </c>
      <c r="H82" s="1057">
        <v>1.6</v>
      </c>
      <c r="I82" s="1058">
        <f>E82*('Ввод исходных данных'!$D$83-F82)</f>
        <v>6973.4000000000005</v>
      </c>
      <c r="J82" s="1059" t="str">
        <f t="shared" si="12"/>
        <v>6000-7000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124.8</v>
      </c>
      <c r="W82" s="1065">
        <v>-0.8</v>
      </c>
      <c r="X82" s="1065"/>
      <c r="Y82" s="1065">
        <f t="shared" si="17"/>
        <v>31</v>
      </c>
      <c r="Z82" s="1065">
        <f>Y82*('Ввод исходных данных'!$D$83-W82)</f>
        <v>582.80000000000007</v>
      </c>
      <c r="AA82" s="1066">
        <v>-13.1</v>
      </c>
      <c r="AB82" s="1066"/>
      <c r="AC82" s="1066">
        <f t="shared" si="18"/>
        <v>30</v>
      </c>
      <c r="AD82" s="1066">
        <f>AC82*('Ввод исходных данных'!$D$83-AA82)</f>
        <v>933</v>
      </c>
      <c r="AE82" s="1067">
        <v>-22.6</v>
      </c>
      <c r="AF82" s="1067"/>
      <c r="AG82" s="1067">
        <v>31</v>
      </c>
      <c r="AH82" s="1067">
        <f>AG82*('Ввод исходных данных'!$D$83-AE82)</f>
        <v>1258.6000000000001</v>
      </c>
      <c r="AI82" s="1068">
        <v>-25.6</v>
      </c>
      <c r="AJ82" s="1068"/>
      <c r="AK82" s="1068">
        <v>31</v>
      </c>
      <c r="AL82" s="1068">
        <f>AK82*('Ввод исходных данных'!$D$83-AI82)</f>
        <v>1351.6000000000001</v>
      </c>
      <c r="AM82" s="1069">
        <v>-20.2</v>
      </c>
      <c r="AN82" s="1069"/>
      <c r="AO82" s="1069">
        <v>28</v>
      </c>
      <c r="AP82" s="1069">
        <f>AO82*('Ввод исходных данных'!$D$83-AM82)</f>
        <v>1069.6000000000001</v>
      </c>
      <c r="AQ82" s="1064">
        <v>-9.6</v>
      </c>
      <c r="AR82" s="1064"/>
      <c r="AS82" s="1064">
        <f t="shared" si="19"/>
        <v>31</v>
      </c>
      <c r="AT82" s="1064">
        <f>AS82*('Ввод исходных данных'!$D$83-AQ82)</f>
        <v>855.6</v>
      </c>
      <c r="AU82" s="1070">
        <v>1</v>
      </c>
      <c r="AV82" s="1070"/>
      <c r="AW82" s="1070">
        <f t="shared" si="20"/>
        <v>30</v>
      </c>
      <c r="AX82" s="1070">
        <f>AW82*('Ввод исходных данных'!$D$83-AU82)</f>
        <v>510</v>
      </c>
      <c r="AY82" s="1071">
        <v>9.1999999999999993</v>
      </c>
      <c r="AZ82" s="1071"/>
      <c r="BA82" s="1071">
        <f t="shared" si="21"/>
        <v>13</v>
      </c>
      <c r="BB82" s="1071">
        <f>BA82*('Ввод исходных данных'!$D$83-AY82)</f>
        <v>114.4</v>
      </c>
      <c r="BC82" s="1072">
        <v>16.2</v>
      </c>
      <c r="BD82" s="1072"/>
      <c r="BE82" s="1072">
        <f t="shared" si="13"/>
        <v>0</v>
      </c>
      <c r="BF82" s="1073">
        <f>BE82*('Ввод исходных данных'!$D$83-BC82)</f>
        <v>0</v>
      </c>
    </row>
    <row r="83" spans="2:58" ht="15.75" customHeight="1" x14ac:dyDescent="0.25">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4796.0999999999995</v>
      </c>
      <c r="J83" s="1059" t="str">
        <f t="shared" si="12"/>
        <v>4000-5000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27.650000000000002</v>
      </c>
      <c r="W83" s="1065">
        <v>3.5</v>
      </c>
      <c r="X83" s="1065"/>
      <c r="Y83" s="1065">
        <f t="shared" si="17"/>
        <v>31</v>
      </c>
      <c r="Z83" s="1065">
        <f>Y83*('Ввод исходных данных'!$D$83-W83)</f>
        <v>449.5</v>
      </c>
      <c r="AA83" s="1066">
        <v>-3.1</v>
      </c>
      <c r="AB83" s="1066"/>
      <c r="AC83" s="1066">
        <f t="shared" si="18"/>
        <v>30</v>
      </c>
      <c r="AD83" s="1066">
        <f>AC83*('Ввод исходных данных'!$D$83-AA83)</f>
        <v>633</v>
      </c>
      <c r="AE83" s="1067">
        <v>-8.1</v>
      </c>
      <c r="AF83" s="1067"/>
      <c r="AG83" s="1067">
        <v>31</v>
      </c>
      <c r="AH83" s="1067">
        <f>AG83*('Ввод исходных данных'!$D$83-AE83)</f>
        <v>809.1</v>
      </c>
      <c r="AI83" s="1068">
        <v>-11.9</v>
      </c>
      <c r="AJ83" s="1068"/>
      <c r="AK83" s="1068">
        <v>31</v>
      </c>
      <c r="AL83" s="1068">
        <f>AK83*('Ввод исходных данных'!$D$83-AI83)</f>
        <v>926.9</v>
      </c>
      <c r="AM83" s="1069">
        <v>-10.9</v>
      </c>
      <c r="AN83" s="1069"/>
      <c r="AO83" s="1069">
        <v>28</v>
      </c>
      <c r="AP83" s="1069">
        <f>AO83*('Ввод исходных данных'!$D$83-AM83)</f>
        <v>809.19999999999993</v>
      </c>
      <c r="AQ83" s="1064">
        <v>-5.0999999999999996</v>
      </c>
      <c r="AR83" s="1064"/>
      <c r="AS83" s="1064">
        <f t="shared" si="19"/>
        <v>31</v>
      </c>
      <c r="AT83" s="1064">
        <f>AS83*('Ввод исходных данных'!$D$83-AQ83)</f>
        <v>716.1</v>
      </c>
      <c r="AU83" s="1070">
        <v>4.0999999999999996</v>
      </c>
      <c r="AV83" s="1070"/>
      <c r="AW83" s="1070">
        <f t="shared" si="20"/>
        <v>30</v>
      </c>
      <c r="AX83" s="1070">
        <f>AW83*('Ввод исходных данных'!$D$83-AU83)</f>
        <v>417</v>
      </c>
      <c r="AY83" s="1071">
        <v>11.4</v>
      </c>
      <c r="AZ83" s="1071"/>
      <c r="BA83" s="1071">
        <f t="shared" si="21"/>
        <v>3.5</v>
      </c>
      <c r="BB83" s="1071">
        <f>BA83*('Ввод исходных данных'!$D$83-AY83)</f>
        <v>23.099999999999998</v>
      </c>
      <c r="BC83" s="1072">
        <v>15.8</v>
      </c>
      <c r="BD83" s="1072"/>
      <c r="BE83" s="1072">
        <f t="shared" si="13"/>
        <v>0</v>
      </c>
      <c r="BF83" s="1073">
        <f>BE83*('Ввод исходных данных'!$D$83-BC83)</f>
        <v>0</v>
      </c>
    </row>
    <row r="84" spans="2:58" ht="15.75" customHeight="1" x14ac:dyDescent="0.25">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4884.1000000000004</v>
      </c>
      <c r="J84" s="1059" t="str">
        <f t="shared" si="12"/>
        <v>4000-5000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36</v>
      </c>
      <c r="W84" s="1065">
        <v>3.3</v>
      </c>
      <c r="X84" s="1065"/>
      <c r="Y84" s="1065">
        <f t="shared" si="17"/>
        <v>31</v>
      </c>
      <c r="Z84" s="1065">
        <f>Y84*('Ввод исходных данных'!$D$83-W84)</f>
        <v>455.7</v>
      </c>
      <c r="AA84" s="1066">
        <v>-3.5</v>
      </c>
      <c r="AB84" s="1066"/>
      <c r="AC84" s="1066">
        <f t="shared" si="18"/>
        <v>30</v>
      </c>
      <c r="AD84" s="1066">
        <f>AC84*('Ввод исходных данных'!$D$83-AA84)</f>
        <v>645</v>
      </c>
      <c r="AE84" s="1067">
        <v>-9.1</v>
      </c>
      <c r="AF84" s="1067"/>
      <c r="AG84" s="1067">
        <v>31</v>
      </c>
      <c r="AH84" s="1067">
        <f>AG84*('Ввод исходных данных'!$D$83-AE84)</f>
        <v>840.1</v>
      </c>
      <c r="AI84" s="1068">
        <v>-11.7</v>
      </c>
      <c r="AJ84" s="1068"/>
      <c r="AK84" s="1068">
        <v>31</v>
      </c>
      <c r="AL84" s="1068">
        <f>AK84*('Ввод исходных данных'!$D$83-AI84)</f>
        <v>920.69999999999993</v>
      </c>
      <c r="AM84" s="1069">
        <v>-11.3</v>
      </c>
      <c r="AN84" s="1069"/>
      <c r="AO84" s="1069">
        <v>28</v>
      </c>
      <c r="AP84" s="1069">
        <f>AO84*('Ввод исходных данных'!$D$83-AM84)</f>
        <v>820.4</v>
      </c>
      <c r="AQ84" s="1064">
        <v>-5.6</v>
      </c>
      <c r="AR84" s="1064"/>
      <c r="AS84" s="1064">
        <f t="shared" si="19"/>
        <v>31</v>
      </c>
      <c r="AT84" s="1064">
        <f>AS84*('Ввод исходных данных'!$D$83-AQ84)</f>
        <v>731.6</v>
      </c>
      <c r="AU84" s="1070">
        <v>3.4</v>
      </c>
      <c r="AV84" s="1070"/>
      <c r="AW84" s="1070">
        <f t="shared" si="20"/>
        <v>30</v>
      </c>
      <c r="AX84" s="1070">
        <f>AW84*('Ввод исходных данных'!$D$83-AU84)</f>
        <v>438</v>
      </c>
      <c r="AY84" s="1071">
        <v>11.1</v>
      </c>
      <c r="AZ84" s="1071"/>
      <c r="BA84" s="1071">
        <f t="shared" si="21"/>
        <v>4.5</v>
      </c>
      <c r="BB84" s="1071">
        <f>BA84*('Ввод исходных данных'!$D$83-AY84)</f>
        <v>31.05</v>
      </c>
      <c r="BC84" s="1072">
        <v>15.9</v>
      </c>
      <c r="BD84" s="1072"/>
      <c r="BE84" s="1072">
        <f t="shared" si="13"/>
        <v>0</v>
      </c>
      <c r="BF84" s="1073">
        <f>BE84*('Ввод исходных данных'!$D$83-BC84)</f>
        <v>0</v>
      </c>
    </row>
    <row r="85" spans="2:58" ht="15.75" customHeight="1" x14ac:dyDescent="0.25">
      <c r="B85" s="1052" t="s">
        <v>71</v>
      </c>
      <c r="C85" s="1052" t="s">
        <v>72</v>
      </c>
      <c r="D85" s="1053" t="str">
        <f t="shared" si="11"/>
        <v>Иркутская областьАлыгджер</v>
      </c>
      <c r="E85" s="1054">
        <v>264</v>
      </c>
      <c r="F85" s="1055">
        <v>-6.4</v>
      </c>
      <c r="G85" s="1055">
        <v>-36</v>
      </c>
      <c r="H85" s="1057">
        <v>3.8</v>
      </c>
      <c r="I85" s="1058">
        <f>E85*('Ввод исходных данных'!$D$83-F85)</f>
        <v>6441.5999999999995</v>
      </c>
      <c r="J85" s="1059" t="str">
        <f t="shared" si="12"/>
        <v>6000-7000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301.59999999999997</v>
      </c>
      <c r="W85" s="1065">
        <v>0.1</v>
      </c>
      <c r="X85" s="1065"/>
      <c r="Y85" s="1065">
        <f t="shared" si="17"/>
        <v>31</v>
      </c>
      <c r="Z85" s="1065">
        <f>Y85*('Ввод исходных данных'!$D$83-W85)</f>
        <v>554.9</v>
      </c>
      <c r="AA85" s="1066">
        <v>-8.9</v>
      </c>
      <c r="AB85" s="1066"/>
      <c r="AC85" s="1066">
        <f t="shared" si="18"/>
        <v>30</v>
      </c>
      <c r="AD85" s="1066">
        <f>AC85*('Ввод исходных данных'!$D$83-AA85)</f>
        <v>807</v>
      </c>
      <c r="AE85" s="1067">
        <v>-15.1</v>
      </c>
      <c r="AF85" s="1067"/>
      <c r="AG85" s="1067">
        <v>31</v>
      </c>
      <c r="AH85" s="1067">
        <f>AG85*('Ввод исходных данных'!$D$83-AE85)</f>
        <v>1026.1000000000001</v>
      </c>
      <c r="AI85" s="1068">
        <v>-16.7</v>
      </c>
      <c r="AJ85" s="1068"/>
      <c r="AK85" s="1068">
        <v>31</v>
      </c>
      <c r="AL85" s="1068">
        <f>AK85*('Ввод исходных данных'!$D$83-AI85)</f>
        <v>1075.7</v>
      </c>
      <c r="AM85" s="1069">
        <v>-14.6</v>
      </c>
      <c r="AN85" s="1069"/>
      <c r="AO85" s="1069">
        <v>28</v>
      </c>
      <c r="AP85" s="1069">
        <f>AO85*('Ввод исходных данных'!$D$83-AM85)</f>
        <v>912.80000000000007</v>
      </c>
      <c r="AQ85" s="1064">
        <v>-7.8</v>
      </c>
      <c r="AR85" s="1064"/>
      <c r="AS85" s="1064">
        <f t="shared" si="19"/>
        <v>31</v>
      </c>
      <c r="AT85" s="1064">
        <f>AS85*('Ввод исходных данных'!$D$83-AQ85)</f>
        <v>799.80000000000007</v>
      </c>
      <c r="AU85" s="1070">
        <v>-0.2</v>
      </c>
      <c r="AV85" s="1070"/>
      <c r="AW85" s="1070">
        <f t="shared" si="20"/>
        <v>30</v>
      </c>
      <c r="AX85" s="1070">
        <f>AW85*('Ввод исходных данных'!$D$83-AU85)</f>
        <v>546</v>
      </c>
      <c r="AY85" s="1071">
        <v>6.2</v>
      </c>
      <c r="AZ85" s="1071"/>
      <c r="BA85" s="1071">
        <f t="shared" si="21"/>
        <v>26</v>
      </c>
      <c r="BB85" s="1071">
        <f>BA85*('Ввод исходных данных'!$D$83-AY85)</f>
        <v>306.8</v>
      </c>
      <c r="BC85" s="1072">
        <v>12.2</v>
      </c>
      <c r="BD85" s="1072"/>
      <c r="BE85" s="1072">
        <f t="shared" si="13"/>
        <v>0</v>
      </c>
      <c r="BF85" s="1073">
        <f>BE85*('Ввод исходных данных'!$D$83-BC85)</f>
        <v>0</v>
      </c>
    </row>
    <row r="86" spans="2:58" ht="15.75" customHeight="1" x14ac:dyDescent="0.25">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8121.3</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231.65</v>
      </c>
      <c r="W86" s="1065">
        <v>-3.4</v>
      </c>
      <c r="X86" s="1065"/>
      <c r="Y86" s="1065">
        <f t="shared" si="17"/>
        <v>31</v>
      </c>
      <c r="Z86" s="1065">
        <f>Y86*('Ввод исходных данных'!$D$83-W86)</f>
        <v>663.4</v>
      </c>
      <c r="AA86" s="1066">
        <v>-17.600000000000001</v>
      </c>
      <c r="AB86" s="1066"/>
      <c r="AC86" s="1066">
        <f t="shared" si="18"/>
        <v>30</v>
      </c>
      <c r="AD86" s="1066">
        <f>AC86*('Ввод исходных данных'!$D$83-AA86)</f>
        <v>1068</v>
      </c>
      <c r="AE86" s="1067">
        <v>-27.6</v>
      </c>
      <c r="AF86" s="1067"/>
      <c r="AG86" s="1067">
        <v>31</v>
      </c>
      <c r="AH86" s="1067">
        <f>AG86*('Ввод исходных данных'!$D$83-AE86)</f>
        <v>1413.6000000000001</v>
      </c>
      <c r="AI86" s="1068">
        <v>-30.1</v>
      </c>
      <c r="AJ86" s="1068"/>
      <c r="AK86" s="1068">
        <v>31</v>
      </c>
      <c r="AL86" s="1068">
        <f>AK86*('Ввод исходных данных'!$D$83-AI86)</f>
        <v>1491.1000000000001</v>
      </c>
      <c r="AM86" s="1069">
        <v>-25.5</v>
      </c>
      <c r="AN86" s="1069"/>
      <c r="AO86" s="1069">
        <v>28</v>
      </c>
      <c r="AP86" s="1069">
        <f>AO86*('Ввод исходных данных'!$D$83-AM86)</f>
        <v>1218</v>
      </c>
      <c r="AQ86" s="1064">
        <v>-13.8</v>
      </c>
      <c r="AR86" s="1064"/>
      <c r="AS86" s="1064">
        <f t="shared" si="19"/>
        <v>31</v>
      </c>
      <c r="AT86" s="1064">
        <f>AS86*('Ввод исходных данных'!$D$83-AQ86)</f>
        <v>985.80000000000007</v>
      </c>
      <c r="AU86" s="1070">
        <v>-1.9</v>
      </c>
      <c r="AV86" s="1070"/>
      <c r="AW86" s="1070">
        <f t="shared" si="20"/>
        <v>30</v>
      </c>
      <c r="AX86" s="1070">
        <f>AW86*('Ввод исходных данных'!$D$83-AU86)</f>
        <v>597</v>
      </c>
      <c r="AY86" s="1071">
        <v>6.7</v>
      </c>
      <c r="AZ86" s="1071"/>
      <c r="BA86" s="1071">
        <f t="shared" si="21"/>
        <v>20.5</v>
      </c>
      <c r="BB86" s="1071">
        <f>BA86*('Ввод исходных данных'!$D$83-AY86)</f>
        <v>231.65</v>
      </c>
      <c r="BC86" s="1072">
        <v>14.7</v>
      </c>
      <c r="BD86" s="1072"/>
      <c r="BE86" s="1072">
        <f t="shared" si="13"/>
        <v>0</v>
      </c>
      <c r="BF86" s="1073">
        <f>BE86*('Ввод исходных данных'!$D$83-BC86)</f>
        <v>0</v>
      </c>
    </row>
    <row r="87" spans="2:58" ht="15.75" customHeight="1" x14ac:dyDescent="0.25">
      <c r="B87" s="1052" t="s">
        <v>71</v>
      </c>
      <c r="C87" s="1052" t="s">
        <v>74</v>
      </c>
      <c r="D87" s="1053" t="str">
        <f t="shared" si="11"/>
        <v>Иркутская областьБратск</v>
      </c>
      <c r="E87" s="1054">
        <v>249</v>
      </c>
      <c r="F87" s="1055">
        <v>-8.6</v>
      </c>
      <c r="G87" s="1055">
        <v>-43</v>
      </c>
      <c r="H87" s="1057">
        <v>3.4</v>
      </c>
      <c r="I87" s="1058">
        <f>E87*('Ввод исходных данных'!$D$83-F87)</f>
        <v>6623.4000000000005</v>
      </c>
      <c r="J87" s="1059" t="str">
        <f t="shared" si="12"/>
        <v>6000-7000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183.15</v>
      </c>
      <c r="W87" s="1065">
        <v>-0.5</v>
      </c>
      <c r="X87" s="1065"/>
      <c r="Y87" s="1065">
        <f t="shared" si="17"/>
        <v>31</v>
      </c>
      <c r="Z87" s="1065">
        <f>Y87*('Ввод исходных данных'!$D$83-W87)</f>
        <v>573.5</v>
      </c>
      <c r="AA87" s="1066">
        <v>-9.8000000000000007</v>
      </c>
      <c r="AB87" s="1066"/>
      <c r="AC87" s="1066">
        <f t="shared" si="18"/>
        <v>30</v>
      </c>
      <c r="AD87" s="1066">
        <f>AC87*('Ввод исходных данных'!$D$83-AA87)</f>
        <v>834</v>
      </c>
      <c r="AE87" s="1067">
        <v>-18.399999999999999</v>
      </c>
      <c r="AF87" s="1067"/>
      <c r="AG87" s="1067">
        <v>31</v>
      </c>
      <c r="AH87" s="1067">
        <f>AG87*('Ввод исходных данных'!$D$83-AE87)</f>
        <v>1128.3999999999999</v>
      </c>
      <c r="AI87" s="1068">
        <v>-20.7</v>
      </c>
      <c r="AJ87" s="1068"/>
      <c r="AK87" s="1068">
        <v>31</v>
      </c>
      <c r="AL87" s="1068">
        <f>AK87*('Ввод исходных данных'!$D$83-AI87)</f>
        <v>1199.7</v>
      </c>
      <c r="AM87" s="1069">
        <v>-19.399999999999999</v>
      </c>
      <c r="AN87" s="1069"/>
      <c r="AO87" s="1069">
        <v>28</v>
      </c>
      <c r="AP87" s="1069">
        <f>AO87*('Ввод исходных данных'!$D$83-AM87)</f>
        <v>1047.2</v>
      </c>
      <c r="AQ87" s="1064">
        <v>-10.199999999999999</v>
      </c>
      <c r="AR87" s="1064"/>
      <c r="AS87" s="1064">
        <f t="shared" si="19"/>
        <v>31</v>
      </c>
      <c r="AT87" s="1064">
        <f>AS87*('Ввод исходных данных'!$D$83-AQ87)</f>
        <v>874.19999999999993</v>
      </c>
      <c r="AU87" s="1070">
        <v>-1.2</v>
      </c>
      <c r="AV87" s="1070"/>
      <c r="AW87" s="1070">
        <f t="shared" si="20"/>
        <v>30</v>
      </c>
      <c r="AX87" s="1070">
        <f>AW87*('Ввод исходных данных'!$D$83-AU87)</f>
        <v>576</v>
      </c>
      <c r="AY87" s="1071">
        <v>6.2</v>
      </c>
      <c r="AZ87" s="1071"/>
      <c r="BA87" s="1071">
        <f t="shared" si="21"/>
        <v>18.5</v>
      </c>
      <c r="BB87" s="1071">
        <f>BA87*('Ввод исходных данных'!$D$83-AY87)</f>
        <v>218.3</v>
      </c>
      <c r="BC87" s="1072">
        <v>14</v>
      </c>
      <c r="BD87" s="1072"/>
      <c r="BE87" s="1072">
        <f t="shared" si="13"/>
        <v>0</v>
      </c>
      <c r="BF87" s="1073">
        <f>BE87*('Ввод исходных данных'!$D$83-BC87)</f>
        <v>0</v>
      </c>
    </row>
    <row r="88" spans="2:58" ht="15.75" customHeight="1" x14ac:dyDescent="0.25">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6861.9</v>
      </c>
      <c r="J88" s="1059" t="str">
        <f t="shared" si="12"/>
        <v>6000-7000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352</v>
      </c>
      <c r="W88" s="1065">
        <v>-1.8</v>
      </c>
      <c r="X88" s="1065"/>
      <c r="Y88" s="1065">
        <f t="shared" si="17"/>
        <v>31</v>
      </c>
      <c r="Z88" s="1065">
        <f>Y88*('Ввод исходных данных'!$D$83-W88)</f>
        <v>613.80000000000007</v>
      </c>
      <c r="AA88" s="1066">
        <v>-10</v>
      </c>
      <c r="AB88" s="1066"/>
      <c r="AC88" s="1066">
        <f t="shared" si="18"/>
        <v>30</v>
      </c>
      <c r="AD88" s="1066">
        <f>AC88*('Ввод исходных данных'!$D$83-AA88)</f>
        <v>840</v>
      </c>
      <c r="AE88" s="1067">
        <v>-16.8</v>
      </c>
      <c r="AF88" s="1067"/>
      <c r="AG88" s="1067">
        <v>31</v>
      </c>
      <c r="AH88" s="1067">
        <f>AG88*('Ввод исходных данных'!$D$83-AE88)</f>
        <v>1078.8</v>
      </c>
      <c r="AI88" s="1068">
        <v>-19</v>
      </c>
      <c r="AJ88" s="1068"/>
      <c r="AK88" s="1068">
        <v>31</v>
      </c>
      <c r="AL88" s="1068">
        <f>AK88*('Ввод исходных данных'!$D$83-AI88)</f>
        <v>1147</v>
      </c>
      <c r="AM88" s="1069">
        <v>-16.3</v>
      </c>
      <c r="AN88" s="1069"/>
      <c r="AO88" s="1069">
        <v>28</v>
      </c>
      <c r="AP88" s="1069">
        <f>AO88*('Ввод исходных данных'!$D$83-AM88)</f>
        <v>960.39999999999986</v>
      </c>
      <c r="AQ88" s="1064">
        <v>-9.6999999999999993</v>
      </c>
      <c r="AR88" s="1064"/>
      <c r="AS88" s="1064">
        <f t="shared" si="19"/>
        <v>31</v>
      </c>
      <c r="AT88" s="1064">
        <f>AS88*('Ввод исходных данных'!$D$83-AQ88)</f>
        <v>858.69999999999993</v>
      </c>
      <c r="AU88" s="1070">
        <v>-1.4</v>
      </c>
      <c r="AV88" s="1070"/>
      <c r="AW88" s="1070">
        <f t="shared" si="20"/>
        <v>30</v>
      </c>
      <c r="AX88" s="1070">
        <f>AW88*('Ввод исходных данных'!$D$83-AU88)</f>
        <v>582</v>
      </c>
      <c r="AY88" s="1071">
        <v>5.7</v>
      </c>
      <c r="AZ88" s="1071"/>
      <c r="BA88" s="1071">
        <f t="shared" si="21"/>
        <v>27.5</v>
      </c>
      <c r="BB88" s="1071">
        <f>BA88*('Ввод исходных данных'!$D$83-AY88)</f>
        <v>338.25</v>
      </c>
      <c r="BC88" s="1072">
        <v>11.7</v>
      </c>
      <c r="BD88" s="1072"/>
      <c r="BE88" s="1072">
        <f t="shared" si="13"/>
        <v>0</v>
      </c>
      <c r="BF88" s="1073">
        <f>BE88*('Ввод исходных данных'!$D$83-BC88)</f>
        <v>0</v>
      </c>
    </row>
    <row r="89" spans="2:58" ht="15.75" customHeight="1" x14ac:dyDescent="0.25">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7787.1</v>
      </c>
      <c r="J89" s="1059" t="str">
        <f t="shared" si="12"/>
        <v>7000-8000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261</v>
      </c>
      <c r="W89" s="1065">
        <v>-2.2999999999999998</v>
      </c>
      <c r="X89" s="1065"/>
      <c r="Y89" s="1065">
        <f t="shared" si="17"/>
        <v>31</v>
      </c>
      <c r="Z89" s="1065">
        <f>Y89*('Ввод исходных данных'!$D$83-W89)</f>
        <v>629.30000000000007</v>
      </c>
      <c r="AA89" s="1066">
        <v>-17.399999999999999</v>
      </c>
      <c r="AB89" s="1066"/>
      <c r="AC89" s="1066">
        <f t="shared" si="18"/>
        <v>30</v>
      </c>
      <c r="AD89" s="1066">
        <f>AC89*('Ввод исходных данных'!$D$83-AA89)</f>
        <v>1062</v>
      </c>
      <c r="AE89" s="1067">
        <v>-25.8</v>
      </c>
      <c r="AF89" s="1067"/>
      <c r="AG89" s="1067">
        <v>31</v>
      </c>
      <c r="AH89" s="1067">
        <f>AG89*('Ввод исходных данных'!$D$83-AE89)</f>
        <v>1357.8</v>
      </c>
      <c r="AI89" s="1068">
        <v>-28.6</v>
      </c>
      <c r="AJ89" s="1068"/>
      <c r="AK89" s="1068">
        <v>31</v>
      </c>
      <c r="AL89" s="1068">
        <f>AK89*('Ввод исходных данных'!$D$83-AI89)</f>
        <v>1444.6000000000001</v>
      </c>
      <c r="AM89" s="1069">
        <v>-23.2</v>
      </c>
      <c r="AN89" s="1069"/>
      <c r="AO89" s="1069">
        <v>28</v>
      </c>
      <c r="AP89" s="1069">
        <f>AO89*('Ввод исходных данных'!$D$83-AM89)</f>
        <v>1153.6000000000001</v>
      </c>
      <c r="AQ89" s="1064">
        <v>-13.6</v>
      </c>
      <c r="AR89" s="1064"/>
      <c r="AS89" s="1064">
        <f t="shared" si="19"/>
        <v>31</v>
      </c>
      <c r="AT89" s="1064">
        <f>AS89*('Ввод исходных данных'!$D$83-AQ89)</f>
        <v>979.6</v>
      </c>
      <c r="AU89" s="1070">
        <v>-2.9</v>
      </c>
      <c r="AV89" s="1070"/>
      <c r="AW89" s="1070">
        <f t="shared" si="20"/>
        <v>30</v>
      </c>
      <c r="AX89" s="1070">
        <f>AW89*('Ввод исходных данных'!$D$83-AU89)</f>
        <v>627</v>
      </c>
      <c r="AY89" s="1071">
        <v>5.7</v>
      </c>
      <c r="AZ89" s="1071"/>
      <c r="BA89" s="1071">
        <f t="shared" si="21"/>
        <v>22.5</v>
      </c>
      <c r="BB89" s="1071">
        <f>BA89*('Ввод исходных данных'!$D$83-AY89)</f>
        <v>276.75</v>
      </c>
      <c r="BC89" s="1072">
        <v>14.3</v>
      </c>
      <c r="BD89" s="1072"/>
      <c r="BE89" s="1072">
        <f t="shared" si="13"/>
        <v>0</v>
      </c>
      <c r="BF89" s="1073">
        <f>BE89*('Ввод исходных данных'!$D$83-BC89)</f>
        <v>0</v>
      </c>
    </row>
    <row r="90" spans="2:58" ht="15.75" customHeight="1" x14ac:dyDescent="0.25">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8691.2999999999993</v>
      </c>
      <c r="J90" s="1059" t="str">
        <f t="shared" si="12"/>
        <v>8000-9000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313.60000000000002</v>
      </c>
      <c r="W90" s="1065">
        <v>-5.6</v>
      </c>
      <c r="X90" s="1065"/>
      <c r="Y90" s="1065">
        <f t="shared" si="17"/>
        <v>31</v>
      </c>
      <c r="Z90" s="1065">
        <f>Y90*('Ввод исходных данных'!$D$83-W90)</f>
        <v>731.6</v>
      </c>
      <c r="AA90" s="1066">
        <v>-20.6</v>
      </c>
      <c r="AB90" s="1066"/>
      <c r="AC90" s="1066">
        <f t="shared" si="18"/>
        <v>30</v>
      </c>
      <c r="AD90" s="1066">
        <f>AC90*('Ввод исходных данных'!$D$83-AA90)</f>
        <v>1158</v>
      </c>
      <c r="AE90" s="1067">
        <v>-29</v>
      </c>
      <c r="AF90" s="1067"/>
      <c r="AG90" s="1067">
        <v>31</v>
      </c>
      <c r="AH90" s="1067">
        <f>AG90*('Ввод исходных данных'!$D$83-AE90)</f>
        <v>1457</v>
      </c>
      <c r="AI90" s="1068">
        <v>-30.9</v>
      </c>
      <c r="AJ90" s="1068"/>
      <c r="AK90" s="1068">
        <v>31</v>
      </c>
      <c r="AL90" s="1068">
        <f>AK90*('Ввод исходных данных'!$D$83-AI90)</f>
        <v>1515.8999999999999</v>
      </c>
      <c r="AM90" s="1069">
        <v>-27.7</v>
      </c>
      <c r="AN90" s="1069"/>
      <c r="AO90" s="1069">
        <v>28</v>
      </c>
      <c r="AP90" s="1069">
        <f>AO90*('Ввод исходных данных'!$D$83-AM90)</f>
        <v>1279.6000000000001</v>
      </c>
      <c r="AQ90" s="1064">
        <v>-16.399999999999999</v>
      </c>
      <c r="AR90" s="1064"/>
      <c r="AS90" s="1064">
        <f t="shared" si="19"/>
        <v>31</v>
      </c>
      <c r="AT90" s="1064">
        <f>AS90*('Ввод исходных данных'!$D$83-AQ90)</f>
        <v>1066.3999999999999</v>
      </c>
      <c r="AU90" s="1070">
        <v>-5</v>
      </c>
      <c r="AV90" s="1070"/>
      <c r="AW90" s="1070">
        <f t="shared" si="20"/>
        <v>30</v>
      </c>
      <c r="AX90" s="1070">
        <f>AW90*('Ввод исходных данных'!$D$83-AU90)</f>
        <v>690</v>
      </c>
      <c r="AY90" s="1071">
        <v>5.3</v>
      </c>
      <c r="AZ90" s="1071"/>
      <c r="BA90" s="1071">
        <f t="shared" si="21"/>
        <v>24.5</v>
      </c>
      <c r="BB90" s="1071">
        <f>BA90*('Ввод исходных данных'!$D$83-AY90)</f>
        <v>311.14999999999998</v>
      </c>
      <c r="BC90" s="1072">
        <v>14.1</v>
      </c>
      <c r="BD90" s="1072"/>
      <c r="BE90" s="1072">
        <f t="shared" si="13"/>
        <v>0</v>
      </c>
      <c r="BF90" s="1073">
        <f>BE90*('Ввод исходных данных'!$D$83-BC90)</f>
        <v>0</v>
      </c>
    </row>
    <row r="91" spans="2:58" ht="15.75" customHeight="1" x14ac:dyDescent="0.25">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7544.7</v>
      </c>
      <c r="J91" s="1059" t="str">
        <f t="shared" si="12"/>
        <v>7000-8000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209.05</v>
      </c>
      <c r="W91" s="1065">
        <v>-2.2000000000000002</v>
      </c>
      <c r="X91" s="1065"/>
      <c r="Y91" s="1065">
        <f t="shared" si="17"/>
        <v>31</v>
      </c>
      <c r="Z91" s="1065">
        <f>Y91*('Ввод исходных данных'!$D$83-W91)</f>
        <v>626.19999999999993</v>
      </c>
      <c r="AA91" s="1066">
        <v>-14.3</v>
      </c>
      <c r="AB91" s="1066"/>
      <c r="AC91" s="1066">
        <f t="shared" si="18"/>
        <v>30</v>
      </c>
      <c r="AD91" s="1066">
        <f>AC91*('Ввод исходных данных'!$D$83-AA91)</f>
        <v>968.99999999999989</v>
      </c>
      <c r="AE91" s="1067">
        <v>-24.6</v>
      </c>
      <c r="AF91" s="1067"/>
      <c r="AG91" s="1067">
        <v>31</v>
      </c>
      <c r="AH91" s="1067">
        <f>AG91*('Ввод исходных данных'!$D$83-AE91)</f>
        <v>1320.6000000000001</v>
      </c>
      <c r="AI91" s="1068">
        <v>-27.7</v>
      </c>
      <c r="AJ91" s="1068"/>
      <c r="AK91" s="1068">
        <v>31</v>
      </c>
      <c r="AL91" s="1068">
        <f>AK91*('Ввод исходных данных'!$D$83-AI91)</f>
        <v>1416.7</v>
      </c>
      <c r="AM91" s="1069">
        <v>-23</v>
      </c>
      <c r="AN91" s="1069"/>
      <c r="AO91" s="1069">
        <v>28</v>
      </c>
      <c r="AP91" s="1069">
        <f>AO91*('Ввод исходных данных'!$D$83-AM91)</f>
        <v>1148</v>
      </c>
      <c r="AQ91" s="1064">
        <v>-12.2</v>
      </c>
      <c r="AR91" s="1064"/>
      <c r="AS91" s="1064">
        <f t="shared" si="19"/>
        <v>31</v>
      </c>
      <c r="AT91" s="1064">
        <f>AS91*('Ввод исходных данных'!$D$83-AQ91)</f>
        <v>936.19999999999993</v>
      </c>
      <c r="AU91" s="1070">
        <v>-0.5</v>
      </c>
      <c r="AV91" s="1070"/>
      <c r="AW91" s="1070">
        <f t="shared" si="20"/>
        <v>30</v>
      </c>
      <c r="AX91" s="1070">
        <f>AW91*('Ввод исходных данных'!$D$83-AU91)</f>
        <v>555</v>
      </c>
      <c r="AY91" s="1071">
        <v>8</v>
      </c>
      <c r="AZ91" s="1071"/>
      <c r="BA91" s="1071">
        <f t="shared" si="21"/>
        <v>18.5</v>
      </c>
      <c r="BB91" s="1071">
        <f>BA91*('Ввод исходных данных'!$D$83-AY91)</f>
        <v>185</v>
      </c>
      <c r="BC91" s="1072">
        <v>14.7</v>
      </c>
      <c r="BD91" s="1072"/>
      <c r="BE91" s="1072">
        <f t="shared" si="13"/>
        <v>0</v>
      </c>
      <c r="BF91" s="1073">
        <f>BE91*('Ввод исходных данных'!$D$83-BC91)</f>
        <v>0</v>
      </c>
    </row>
    <row r="92" spans="2:58" ht="15.75" customHeight="1" x14ac:dyDescent="0.25">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6620.3</v>
      </c>
      <c r="J92" s="1059" t="str">
        <f t="shared" si="12"/>
        <v>6000-7000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133.65</v>
      </c>
      <c r="W92" s="1065">
        <v>-0.1</v>
      </c>
      <c r="X92" s="1065"/>
      <c r="Y92" s="1065">
        <f t="shared" si="17"/>
        <v>31</v>
      </c>
      <c r="Z92" s="1065">
        <f>Y92*('Ввод исходных данных'!$D$83-W92)</f>
        <v>561.1</v>
      </c>
      <c r="AA92" s="1066">
        <v>-12.2</v>
      </c>
      <c r="AB92" s="1066"/>
      <c r="AC92" s="1066">
        <f t="shared" si="18"/>
        <v>30</v>
      </c>
      <c r="AD92" s="1066">
        <f>AC92*('Ввод исходных данных'!$D$83-AA92)</f>
        <v>906</v>
      </c>
      <c r="AE92" s="1067">
        <v>-20.5</v>
      </c>
      <c r="AF92" s="1067"/>
      <c r="AG92" s="1067">
        <v>31</v>
      </c>
      <c r="AH92" s="1067">
        <f>AG92*('Ввод исходных данных'!$D$83-AE92)</f>
        <v>1193.5</v>
      </c>
      <c r="AI92" s="1068">
        <v>-23</v>
      </c>
      <c r="AJ92" s="1068"/>
      <c r="AK92" s="1068">
        <v>31</v>
      </c>
      <c r="AL92" s="1068">
        <f>AK92*('Ввод исходных данных'!$D$83-AI92)</f>
        <v>1271</v>
      </c>
      <c r="AM92" s="1069">
        <v>-20</v>
      </c>
      <c r="AN92" s="1069"/>
      <c r="AO92" s="1069">
        <v>28</v>
      </c>
      <c r="AP92" s="1069">
        <f>AO92*('Ввод исходных данных'!$D$83-AM92)</f>
        <v>1064</v>
      </c>
      <c r="AQ92" s="1064">
        <v>-10.1</v>
      </c>
      <c r="AR92" s="1064"/>
      <c r="AS92" s="1064">
        <f t="shared" si="19"/>
        <v>31</v>
      </c>
      <c r="AT92" s="1064">
        <f>AS92*('Ввод исходных данных'!$D$83-AQ92)</f>
        <v>871.1</v>
      </c>
      <c r="AU92" s="1070">
        <v>1.1000000000000001</v>
      </c>
      <c r="AV92" s="1070"/>
      <c r="AW92" s="1070">
        <f t="shared" si="20"/>
        <v>30</v>
      </c>
      <c r="AX92" s="1070">
        <f>AW92*('Ввод исходных данных'!$D$83-AU92)</f>
        <v>506.99999999999994</v>
      </c>
      <c r="AY92" s="1071">
        <v>8.6999999999999993</v>
      </c>
      <c r="AZ92" s="1071"/>
      <c r="BA92" s="1071">
        <f t="shared" si="21"/>
        <v>13.5</v>
      </c>
      <c r="BB92" s="1071">
        <f>BA92*('Ввод исходных данных'!$D$83-AY92)</f>
        <v>125.55000000000001</v>
      </c>
      <c r="BC92" s="1072">
        <v>15.8</v>
      </c>
      <c r="BD92" s="1072"/>
      <c r="BE92" s="1072">
        <f t="shared" si="13"/>
        <v>0</v>
      </c>
      <c r="BF92" s="1073">
        <f>BE92*('Ввод исходных данных'!$D$83-BC92)</f>
        <v>0</v>
      </c>
    </row>
    <row r="93" spans="2:58" ht="15.75" customHeight="1" x14ac:dyDescent="0.25">
      <c r="B93" s="1052" t="s">
        <v>71</v>
      </c>
      <c r="C93" s="1052" t="s">
        <v>76</v>
      </c>
      <c r="D93" s="1053" t="str">
        <f t="shared" si="11"/>
        <v>Иркутская областьИка</v>
      </c>
      <c r="E93" s="1054">
        <v>263</v>
      </c>
      <c r="F93" s="1055">
        <v>-13.8</v>
      </c>
      <c r="G93" s="1055">
        <v>-50</v>
      </c>
      <c r="H93" s="1057">
        <v>2.7</v>
      </c>
      <c r="I93" s="1058">
        <f>E93*('Ввод исходных данных'!$D$83-F93)</f>
        <v>8363.4</v>
      </c>
      <c r="J93" s="1059" t="str">
        <f t="shared" si="12"/>
        <v>8000-9000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331.5</v>
      </c>
      <c r="W93" s="1065">
        <v>-4.4000000000000004</v>
      </c>
      <c r="X93" s="1065"/>
      <c r="Y93" s="1065">
        <f t="shared" si="17"/>
        <v>31</v>
      </c>
      <c r="Z93" s="1065">
        <f>Y93*('Ввод исходных данных'!$D$83-W93)</f>
        <v>694.4</v>
      </c>
      <c r="AA93" s="1066">
        <v>-18</v>
      </c>
      <c r="AB93" s="1066"/>
      <c r="AC93" s="1066">
        <f t="shared" si="18"/>
        <v>30</v>
      </c>
      <c r="AD93" s="1066">
        <f>AC93*('Ввод исходных данных'!$D$83-AA93)</f>
        <v>1080</v>
      </c>
      <c r="AE93" s="1067">
        <v>-26.9</v>
      </c>
      <c r="AF93" s="1067"/>
      <c r="AG93" s="1067">
        <v>31</v>
      </c>
      <c r="AH93" s="1067">
        <f>AG93*('Ввод исходных данных'!$D$83-AE93)</f>
        <v>1391.8999999999999</v>
      </c>
      <c r="AI93" s="1068">
        <v>-29.2</v>
      </c>
      <c r="AJ93" s="1068"/>
      <c r="AK93" s="1068">
        <v>31</v>
      </c>
      <c r="AL93" s="1068">
        <f>AK93*('Ввод исходных данных'!$D$83-AI93)</f>
        <v>1463.2</v>
      </c>
      <c r="AM93" s="1069">
        <v>-25.9</v>
      </c>
      <c r="AN93" s="1069"/>
      <c r="AO93" s="1069">
        <v>28</v>
      </c>
      <c r="AP93" s="1069">
        <f>AO93*('Ввод исходных данных'!$D$83-AM93)</f>
        <v>1229.2</v>
      </c>
      <c r="AQ93" s="1064">
        <v>-15.4</v>
      </c>
      <c r="AR93" s="1064"/>
      <c r="AS93" s="1064">
        <f t="shared" si="19"/>
        <v>31</v>
      </c>
      <c r="AT93" s="1064">
        <f>AS93*('Ввод исходных данных'!$D$83-AQ93)</f>
        <v>1035.3999999999999</v>
      </c>
      <c r="AU93" s="1070">
        <v>-4.2</v>
      </c>
      <c r="AV93" s="1070"/>
      <c r="AW93" s="1070">
        <f t="shared" si="20"/>
        <v>30</v>
      </c>
      <c r="AX93" s="1070">
        <f>AW93*('Ввод исходных данных'!$D$83-AU93)</f>
        <v>666</v>
      </c>
      <c r="AY93" s="1071">
        <v>5.5</v>
      </c>
      <c r="AZ93" s="1071"/>
      <c r="BA93" s="1071">
        <f t="shared" si="21"/>
        <v>25.5</v>
      </c>
      <c r="BB93" s="1071">
        <f>BA93*('Ввод исходных данных'!$D$83-AY93)</f>
        <v>318.75</v>
      </c>
      <c r="BC93" s="1072">
        <v>13.6</v>
      </c>
      <c r="BD93" s="1072"/>
      <c r="BE93" s="1072">
        <f t="shared" si="13"/>
        <v>0</v>
      </c>
      <c r="BF93" s="1073">
        <f>BE93*('Ввод исходных данных'!$D$83-BC93)</f>
        <v>0</v>
      </c>
    </row>
    <row r="94" spans="2:58" ht="15.75" customHeight="1" x14ac:dyDescent="0.25">
      <c r="B94" s="1076" t="s">
        <v>71</v>
      </c>
      <c r="C94" s="1076" t="s">
        <v>641</v>
      </c>
      <c r="D94" s="1053" t="str">
        <f t="shared" si="11"/>
        <v>Иркутская областьИлимск</v>
      </c>
      <c r="E94" s="1054">
        <v>255</v>
      </c>
      <c r="F94" s="1055">
        <v>-11</v>
      </c>
      <c r="G94" s="1055">
        <v>-45</v>
      </c>
      <c r="H94" s="1057">
        <v>3</v>
      </c>
      <c r="I94" s="1058">
        <f>E94*('Ввод исходных данных'!$D$83-F94)</f>
        <v>7395</v>
      </c>
      <c r="J94" s="1059" t="str">
        <f t="shared" si="12"/>
        <v>7000-8000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245.1</v>
      </c>
      <c r="W94" s="1065">
        <v>-2</v>
      </c>
      <c r="X94" s="1065"/>
      <c r="Y94" s="1065">
        <f t="shared" si="17"/>
        <v>31</v>
      </c>
      <c r="Z94" s="1065">
        <f>Y94*('Ввод исходных данных'!$D$83-W94)</f>
        <v>620</v>
      </c>
      <c r="AA94" s="1066">
        <v>-14.8</v>
      </c>
      <c r="AB94" s="1066"/>
      <c r="AC94" s="1066">
        <f t="shared" si="18"/>
        <v>30</v>
      </c>
      <c r="AD94" s="1066">
        <f>AC94*('Ввод исходных данных'!$D$83-AA94)</f>
        <v>983.99999999999989</v>
      </c>
      <c r="AE94" s="1067">
        <v>-23.8</v>
      </c>
      <c r="AF94" s="1067"/>
      <c r="AG94" s="1067">
        <v>31</v>
      </c>
      <c r="AH94" s="1067">
        <f>AG94*('Ввод исходных данных'!$D$83-AE94)</f>
        <v>1295.8</v>
      </c>
      <c r="AI94" s="1068">
        <v>-25.4</v>
      </c>
      <c r="AJ94" s="1068"/>
      <c r="AK94" s="1068">
        <v>31</v>
      </c>
      <c r="AL94" s="1068">
        <f>AK94*('Ввод исходных данных'!$D$83-AI94)</f>
        <v>1345.3999999999999</v>
      </c>
      <c r="AM94" s="1069">
        <v>-22</v>
      </c>
      <c r="AN94" s="1069"/>
      <c r="AO94" s="1069">
        <v>28</v>
      </c>
      <c r="AP94" s="1069">
        <f>AO94*('Ввод исходных данных'!$D$83-AM94)</f>
        <v>1120</v>
      </c>
      <c r="AQ94" s="1064">
        <v>-12.6</v>
      </c>
      <c r="AR94" s="1064"/>
      <c r="AS94" s="1064">
        <f t="shared" si="19"/>
        <v>31</v>
      </c>
      <c r="AT94" s="1064">
        <f>AS94*('Ввод исходных данных'!$D$83-AQ94)</f>
        <v>948.6</v>
      </c>
      <c r="AU94" s="1070">
        <v>-1.6</v>
      </c>
      <c r="AV94" s="1070"/>
      <c r="AW94" s="1070">
        <f t="shared" si="20"/>
        <v>30</v>
      </c>
      <c r="AX94" s="1070">
        <f>AW94*('Ввод исходных данных'!$D$83-AU94)</f>
        <v>588</v>
      </c>
      <c r="AY94" s="1071">
        <v>6.3</v>
      </c>
      <c r="AZ94" s="1071"/>
      <c r="BA94" s="1071">
        <f t="shared" si="21"/>
        <v>21.5</v>
      </c>
      <c r="BB94" s="1071">
        <f>BA94*('Ввод исходных данных'!$D$83-AY94)</f>
        <v>251.54999999999998</v>
      </c>
      <c r="BC94" s="1072">
        <v>14.2</v>
      </c>
      <c r="BD94" s="1072"/>
      <c r="BE94" s="1072">
        <f t="shared" si="13"/>
        <v>0</v>
      </c>
      <c r="BF94" s="1073">
        <f>BE94*('Ввод исходных данных'!$D$83-BC94)</f>
        <v>0</v>
      </c>
    </row>
    <row r="95" spans="2:58" ht="15.75" customHeight="1" x14ac:dyDescent="0.25">
      <c r="B95" s="1052" t="s">
        <v>71</v>
      </c>
      <c r="C95" s="1052" t="s">
        <v>77</v>
      </c>
      <c r="D95" s="1053" t="str">
        <f t="shared" si="11"/>
        <v>Иркутская областьИркутск</v>
      </c>
      <c r="E95" s="1054">
        <v>232</v>
      </c>
      <c r="F95" s="1055">
        <v>-7.7</v>
      </c>
      <c r="G95" s="1055">
        <v>-33</v>
      </c>
      <c r="H95" s="1057">
        <v>3</v>
      </c>
      <c r="I95" s="1058">
        <f>E95*('Ввод исходных данных'!$D$83-F95)</f>
        <v>5962.4</v>
      </c>
      <c r="J95" s="1059" t="str">
        <f t="shared" si="12"/>
        <v>5000-6000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90</v>
      </c>
      <c r="W95" s="1065">
        <v>1.5</v>
      </c>
      <c r="X95" s="1065"/>
      <c r="Y95" s="1065">
        <f t="shared" si="17"/>
        <v>31</v>
      </c>
      <c r="Z95" s="1065">
        <f>Y95*('Ввод исходных данных'!$D$83-W95)</f>
        <v>511.5</v>
      </c>
      <c r="AA95" s="1066">
        <v>-7.9</v>
      </c>
      <c r="AB95" s="1066"/>
      <c r="AC95" s="1066">
        <f t="shared" si="18"/>
        <v>30</v>
      </c>
      <c r="AD95" s="1066">
        <f>AC95*('Ввод исходных данных'!$D$83-AA95)</f>
        <v>777</v>
      </c>
      <c r="AE95" s="1067">
        <v>-15.9</v>
      </c>
      <c r="AF95" s="1067"/>
      <c r="AG95" s="1067">
        <v>31</v>
      </c>
      <c r="AH95" s="1067">
        <f>AG95*('Ввод исходных данных'!$D$83-AE95)</f>
        <v>1050.8999999999999</v>
      </c>
      <c r="AI95" s="1068">
        <v>-18.5</v>
      </c>
      <c r="AJ95" s="1068"/>
      <c r="AK95" s="1068">
        <v>31</v>
      </c>
      <c r="AL95" s="1068">
        <f>AK95*('Ввод исходных данных'!$D$83-AI95)</f>
        <v>1131.5</v>
      </c>
      <c r="AM95" s="1069">
        <v>-15.5</v>
      </c>
      <c r="AN95" s="1069"/>
      <c r="AO95" s="1069">
        <v>28</v>
      </c>
      <c r="AP95" s="1069">
        <f>AO95*('Ввод исходных данных'!$D$83-AM95)</f>
        <v>938</v>
      </c>
      <c r="AQ95" s="1064">
        <v>-7</v>
      </c>
      <c r="AR95" s="1064"/>
      <c r="AS95" s="1064">
        <f t="shared" si="19"/>
        <v>31</v>
      </c>
      <c r="AT95" s="1064">
        <f>AS95*('Ввод исходных данных'!$D$83-AQ95)</f>
        <v>775</v>
      </c>
      <c r="AU95" s="1070">
        <v>2.1</v>
      </c>
      <c r="AV95" s="1070"/>
      <c r="AW95" s="1070">
        <f t="shared" si="20"/>
        <v>30</v>
      </c>
      <c r="AX95" s="1070">
        <f>AW95*('Ввод исходных данных'!$D$83-AU95)</f>
        <v>477</v>
      </c>
      <c r="AY95" s="1071">
        <v>9.8000000000000007</v>
      </c>
      <c r="AZ95" s="1071"/>
      <c r="BA95" s="1071">
        <f t="shared" si="21"/>
        <v>10</v>
      </c>
      <c r="BB95" s="1071">
        <f>BA95*('Ввод исходных данных'!$D$83-AY95)</f>
        <v>82</v>
      </c>
      <c r="BC95" s="1072">
        <v>15.5</v>
      </c>
      <c r="BD95" s="1072"/>
      <c r="BE95" s="1072">
        <f t="shared" si="13"/>
        <v>0</v>
      </c>
      <c r="BF95" s="1073">
        <f>BE95*('Ввод исходных данных'!$D$83-BC95)</f>
        <v>0</v>
      </c>
    </row>
    <row r="96" spans="2:58" ht="15.75" customHeight="1" x14ac:dyDescent="0.25">
      <c r="B96" s="1076" t="s">
        <v>71</v>
      </c>
      <c r="C96" s="1076" t="s">
        <v>75</v>
      </c>
      <c r="D96" s="1053" t="str">
        <f t="shared" si="11"/>
        <v>Иркутская областьИчера</v>
      </c>
      <c r="E96" s="1054">
        <v>254</v>
      </c>
      <c r="F96" s="1055">
        <v>-12.9</v>
      </c>
      <c r="G96" s="1055">
        <v>-50</v>
      </c>
      <c r="H96" s="1057">
        <v>3</v>
      </c>
      <c r="I96" s="1058">
        <f>E96*('Ввод исходных данных'!$D$83-F96)</f>
        <v>7848.5999999999995</v>
      </c>
      <c r="J96" s="1059" t="str">
        <f t="shared" si="12"/>
        <v>7000-8000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239.4</v>
      </c>
      <c r="W96" s="1065">
        <v>-3</v>
      </c>
      <c r="X96" s="1065"/>
      <c r="Y96" s="1065">
        <f t="shared" si="17"/>
        <v>31</v>
      </c>
      <c r="Z96" s="1065">
        <f>Y96*('Ввод исходных данных'!$D$83-W96)</f>
        <v>651</v>
      </c>
      <c r="AA96" s="1066">
        <v>-17.600000000000001</v>
      </c>
      <c r="AB96" s="1066"/>
      <c r="AC96" s="1066">
        <f t="shared" si="18"/>
        <v>30</v>
      </c>
      <c r="AD96" s="1066">
        <f>AC96*('Ввод исходных данных'!$D$83-AA96)</f>
        <v>1068</v>
      </c>
      <c r="AE96" s="1067">
        <v>-26.7</v>
      </c>
      <c r="AF96" s="1067"/>
      <c r="AG96" s="1067">
        <v>31</v>
      </c>
      <c r="AH96" s="1067">
        <f>AG96*('Ввод исходных данных'!$D$83-AE96)</f>
        <v>1385.7</v>
      </c>
      <c r="AI96" s="1068">
        <v>-28.2</v>
      </c>
      <c r="AJ96" s="1068"/>
      <c r="AK96" s="1068">
        <v>31</v>
      </c>
      <c r="AL96" s="1068">
        <f>AK96*('Ввод исходных данных'!$D$83-AI96)</f>
        <v>1432.2</v>
      </c>
      <c r="AM96" s="1069">
        <v>-25.4</v>
      </c>
      <c r="AN96" s="1069"/>
      <c r="AO96" s="1069">
        <v>28</v>
      </c>
      <c r="AP96" s="1069">
        <f>AO96*('Ввод исходных данных'!$D$83-AM96)</f>
        <v>1215.2</v>
      </c>
      <c r="AQ96" s="1064">
        <v>-14.6</v>
      </c>
      <c r="AR96" s="1064"/>
      <c r="AS96" s="1064">
        <f t="shared" si="19"/>
        <v>31</v>
      </c>
      <c r="AT96" s="1064">
        <f>AS96*('Ввод исходных данных'!$D$83-AQ96)</f>
        <v>1010.6</v>
      </c>
      <c r="AU96" s="1070">
        <v>-2.7</v>
      </c>
      <c r="AV96" s="1070"/>
      <c r="AW96" s="1070">
        <f t="shared" si="20"/>
        <v>30</v>
      </c>
      <c r="AX96" s="1070">
        <f>AW96*('Ввод исходных данных'!$D$83-AU96)</f>
        <v>621</v>
      </c>
      <c r="AY96" s="1071">
        <v>6.4</v>
      </c>
      <c r="AZ96" s="1071"/>
      <c r="BA96" s="1071">
        <f t="shared" si="21"/>
        <v>21</v>
      </c>
      <c r="BB96" s="1071">
        <f>BA96*('Ввод исходных данных'!$D$83-AY96)</f>
        <v>243.6</v>
      </c>
      <c r="BC96" s="1072">
        <v>14.6</v>
      </c>
      <c r="BD96" s="1072"/>
      <c r="BE96" s="1072">
        <f t="shared" si="13"/>
        <v>0</v>
      </c>
      <c r="BF96" s="1073">
        <f>BE96*('Ввод исходных данных'!$D$83-BC96)</f>
        <v>0</v>
      </c>
    </row>
    <row r="97" spans="2:58" ht="15.75" customHeight="1" x14ac:dyDescent="0.25">
      <c r="B97" s="1052" t="s">
        <v>71</v>
      </c>
      <c r="C97" s="1052" t="s">
        <v>78</v>
      </c>
      <c r="D97" s="1053" t="str">
        <f t="shared" si="11"/>
        <v>Иркутская областьКиренск</v>
      </c>
      <c r="E97" s="1054">
        <v>251</v>
      </c>
      <c r="F97" s="1055">
        <v>-12.8</v>
      </c>
      <c r="G97" s="1055">
        <v>-49</v>
      </c>
      <c r="H97" s="1057">
        <v>3.6</v>
      </c>
      <c r="I97" s="1058">
        <f>E97*('Ввод исходных данных'!$D$83-F97)</f>
        <v>7730.8</v>
      </c>
      <c r="J97" s="1059" t="str">
        <f t="shared" si="12"/>
        <v>7000-8000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218.39999999999998</v>
      </c>
      <c r="W97" s="1065">
        <v>-2.6</v>
      </c>
      <c r="X97" s="1065"/>
      <c r="Y97" s="1065">
        <f t="shared" si="17"/>
        <v>31</v>
      </c>
      <c r="Z97" s="1065">
        <f>Y97*('Ввод исходных данных'!$D$83-W97)</f>
        <v>638.6</v>
      </c>
      <c r="AA97" s="1066">
        <v>-15.5</v>
      </c>
      <c r="AB97" s="1066"/>
      <c r="AC97" s="1066">
        <f t="shared" si="18"/>
        <v>30</v>
      </c>
      <c r="AD97" s="1066">
        <f>AC97*('Ввод исходных данных'!$D$83-AA97)</f>
        <v>1005</v>
      </c>
      <c r="AE97" s="1067">
        <v>-24.9</v>
      </c>
      <c r="AF97" s="1067"/>
      <c r="AG97" s="1067">
        <v>31</v>
      </c>
      <c r="AH97" s="1067">
        <f>AG97*('Ввод исходных данных'!$D$83-AE97)</f>
        <v>1329.8999999999999</v>
      </c>
      <c r="AI97" s="1068">
        <v>-27.2</v>
      </c>
      <c r="AJ97" s="1068"/>
      <c r="AK97" s="1068">
        <v>31</v>
      </c>
      <c r="AL97" s="1068">
        <f>AK97*('Ввод исходных данных'!$D$83-AI97)</f>
        <v>1401.2</v>
      </c>
      <c r="AM97" s="1069">
        <v>-24</v>
      </c>
      <c r="AN97" s="1069"/>
      <c r="AO97" s="1069">
        <v>28</v>
      </c>
      <c r="AP97" s="1069">
        <f>AO97*('Ввод исходных данных'!$D$83-AM97)</f>
        <v>1176</v>
      </c>
      <c r="AQ97" s="1064">
        <v>-13.3</v>
      </c>
      <c r="AR97" s="1064"/>
      <c r="AS97" s="1064">
        <f t="shared" si="19"/>
        <v>31</v>
      </c>
      <c r="AT97" s="1064">
        <f>AS97*('Ввод исходных данных'!$D$83-AQ97)</f>
        <v>970.30000000000007</v>
      </c>
      <c r="AU97" s="1070">
        <v>-1.8</v>
      </c>
      <c r="AV97" s="1070"/>
      <c r="AW97" s="1070">
        <f t="shared" si="20"/>
        <v>30</v>
      </c>
      <c r="AX97" s="1070">
        <f>AW97*('Ввод исходных данных'!$D$83-AU97)</f>
        <v>594</v>
      </c>
      <c r="AY97" s="1071">
        <v>7.3</v>
      </c>
      <c r="AZ97" s="1071"/>
      <c r="BA97" s="1071">
        <f t="shared" si="21"/>
        <v>19.5</v>
      </c>
      <c r="BB97" s="1071">
        <f>BA97*('Ввод исходных данных'!$D$83-AY97)</f>
        <v>208.64999999999998</v>
      </c>
      <c r="BC97" s="1072">
        <v>15.2</v>
      </c>
      <c r="BD97" s="1072"/>
      <c r="BE97" s="1072">
        <f t="shared" si="13"/>
        <v>0</v>
      </c>
      <c r="BF97" s="1073">
        <f>BE97*('Ввод исходных данных'!$D$83-BC97)</f>
        <v>0</v>
      </c>
    </row>
    <row r="98" spans="2:58" ht="15.75" customHeight="1" x14ac:dyDescent="0.25">
      <c r="B98" s="1076" t="s">
        <v>71</v>
      </c>
      <c r="C98" s="1076" t="s">
        <v>79</v>
      </c>
      <c r="D98" s="1053" t="str">
        <f t="shared" si="11"/>
        <v>Иркутская областьМама</v>
      </c>
      <c r="E98" s="1054">
        <v>255</v>
      </c>
      <c r="F98" s="1055">
        <v>-12.6</v>
      </c>
      <c r="G98" s="1055">
        <v>-46</v>
      </c>
      <c r="H98" s="1057">
        <v>3</v>
      </c>
      <c r="I98" s="1058">
        <f>E98*('Ввод исходных данных'!$D$83-F98)</f>
        <v>7803</v>
      </c>
      <c r="J98" s="1059" t="str">
        <f t="shared" si="12"/>
        <v>7000-8000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240.79999999999998</v>
      </c>
      <c r="W98" s="1065">
        <v>-2.1</v>
      </c>
      <c r="X98" s="1065"/>
      <c r="Y98" s="1065">
        <f t="shared" si="17"/>
        <v>31</v>
      </c>
      <c r="Z98" s="1065">
        <f>Y98*('Ввод исходных данных'!$D$83-W98)</f>
        <v>623.1</v>
      </c>
      <c r="AA98" s="1066">
        <v>-17.399999999999999</v>
      </c>
      <c r="AB98" s="1066"/>
      <c r="AC98" s="1066">
        <f t="shared" si="18"/>
        <v>30</v>
      </c>
      <c r="AD98" s="1066">
        <f>AC98*('Ввод исходных данных'!$D$83-AA98)</f>
        <v>1062</v>
      </c>
      <c r="AE98" s="1067">
        <v>-26.1</v>
      </c>
      <c r="AF98" s="1067"/>
      <c r="AG98" s="1067">
        <v>31</v>
      </c>
      <c r="AH98" s="1067">
        <f>AG98*('Ввод исходных данных'!$D$83-AE98)</f>
        <v>1367.1000000000001</v>
      </c>
      <c r="AI98" s="1068">
        <v>-28.9</v>
      </c>
      <c r="AJ98" s="1068"/>
      <c r="AK98" s="1068">
        <v>31</v>
      </c>
      <c r="AL98" s="1068">
        <f>AK98*('Ввод исходных данных'!$D$83-AI98)</f>
        <v>1453.8999999999999</v>
      </c>
      <c r="AM98" s="1069">
        <v>-23.9</v>
      </c>
      <c r="AN98" s="1069"/>
      <c r="AO98" s="1069">
        <v>28</v>
      </c>
      <c r="AP98" s="1069">
        <f>AO98*('Ввод исходных данных'!$D$83-AM98)</f>
        <v>1173.2</v>
      </c>
      <c r="AQ98" s="1064">
        <v>-14.3</v>
      </c>
      <c r="AR98" s="1064"/>
      <c r="AS98" s="1064">
        <f t="shared" si="19"/>
        <v>31</v>
      </c>
      <c r="AT98" s="1064">
        <f>AS98*('Ввод исходных данных'!$D$83-AQ98)</f>
        <v>1001.3</v>
      </c>
      <c r="AU98" s="1070">
        <v>-2.8</v>
      </c>
      <c r="AV98" s="1070"/>
      <c r="AW98" s="1070">
        <f t="shared" si="20"/>
        <v>30</v>
      </c>
      <c r="AX98" s="1070">
        <f>AW98*('Ввод исходных данных'!$D$83-AU98)</f>
        <v>624</v>
      </c>
      <c r="AY98" s="1071">
        <v>5.9</v>
      </c>
      <c r="AZ98" s="1071"/>
      <c r="BA98" s="1071">
        <f t="shared" si="21"/>
        <v>21.5</v>
      </c>
      <c r="BB98" s="1071">
        <f>BA98*('Ввод исходных данных'!$D$83-AY98)</f>
        <v>260.14999999999998</v>
      </c>
      <c r="BC98" s="1072">
        <v>14.1</v>
      </c>
      <c r="BD98" s="1072"/>
      <c r="BE98" s="1072">
        <f t="shared" si="13"/>
        <v>0</v>
      </c>
      <c r="BF98" s="1073">
        <f>BE98*('Ввод исходных данных'!$D$83-BC98)</f>
        <v>0</v>
      </c>
    </row>
    <row r="99" spans="2:58" ht="15.75" customHeight="1" x14ac:dyDescent="0.25">
      <c r="B99" s="1052" t="s">
        <v>71</v>
      </c>
      <c r="C99" s="1052" t="s">
        <v>62</v>
      </c>
      <c r="D99" s="1053" t="str">
        <f t="shared" si="11"/>
        <v>Иркутская областьМарково</v>
      </c>
      <c r="E99" s="1054">
        <v>250</v>
      </c>
      <c r="F99" s="1055">
        <v>-12.3</v>
      </c>
      <c r="G99" s="1055">
        <v>-49</v>
      </c>
      <c r="H99" s="1057">
        <v>4.2</v>
      </c>
      <c r="I99" s="1058">
        <f>E99*('Ввод исходных данных'!$D$83-F99)</f>
        <v>7575</v>
      </c>
      <c r="J99" s="1059" t="str">
        <f t="shared" si="12"/>
        <v>7000-8000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207.1</v>
      </c>
      <c r="W99" s="1065">
        <v>-2</v>
      </c>
      <c r="X99" s="1065"/>
      <c r="Y99" s="1065">
        <f t="shared" si="17"/>
        <v>31</v>
      </c>
      <c r="Z99" s="1065">
        <f>Y99*('Ввод исходных данных'!$D$83-W99)</f>
        <v>620</v>
      </c>
      <c r="AA99" s="1066">
        <v>-15.8</v>
      </c>
      <c r="AB99" s="1066"/>
      <c r="AC99" s="1066">
        <f t="shared" si="18"/>
        <v>30</v>
      </c>
      <c r="AD99" s="1066">
        <f>AC99*('Ввод исходных данных'!$D$83-AA99)</f>
        <v>1013.9999999999999</v>
      </c>
      <c r="AE99" s="1067">
        <v>-26</v>
      </c>
      <c r="AF99" s="1067"/>
      <c r="AG99" s="1067">
        <v>31</v>
      </c>
      <c r="AH99" s="1067">
        <f>AG99*('Ввод исходных данных'!$D$83-AE99)</f>
        <v>1364</v>
      </c>
      <c r="AI99" s="1068">
        <v>-27.8</v>
      </c>
      <c r="AJ99" s="1068"/>
      <c r="AK99" s="1068">
        <v>31</v>
      </c>
      <c r="AL99" s="1068">
        <f>AK99*('Ввод исходных данных'!$D$83-AI99)</f>
        <v>1419.8</v>
      </c>
      <c r="AM99" s="1069">
        <v>-23.3</v>
      </c>
      <c r="AN99" s="1069"/>
      <c r="AO99" s="1069">
        <v>28</v>
      </c>
      <c r="AP99" s="1069">
        <f>AO99*('Ввод исходных данных'!$D$83-AM99)</f>
        <v>1156.3999999999999</v>
      </c>
      <c r="AQ99" s="1064">
        <v>-13.7</v>
      </c>
      <c r="AR99" s="1064"/>
      <c r="AS99" s="1064">
        <f t="shared" si="19"/>
        <v>31</v>
      </c>
      <c r="AT99" s="1064">
        <f>AS99*('Ввод исходных данных'!$D$83-AQ99)</f>
        <v>982.69999999999993</v>
      </c>
      <c r="AU99" s="1070">
        <v>-1.8</v>
      </c>
      <c r="AV99" s="1070"/>
      <c r="AW99" s="1070">
        <f t="shared" si="20"/>
        <v>30</v>
      </c>
      <c r="AX99" s="1070">
        <f>AW99*('Ввод исходных данных'!$D$83-AU99)</f>
        <v>594</v>
      </c>
      <c r="AY99" s="1071">
        <v>7.1</v>
      </c>
      <c r="AZ99" s="1071"/>
      <c r="BA99" s="1071">
        <f t="shared" si="21"/>
        <v>19</v>
      </c>
      <c r="BB99" s="1071">
        <f>BA99*('Ввод исходных данных'!$D$83-AY99)</f>
        <v>207.1</v>
      </c>
      <c r="BC99" s="1072">
        <v>15.2</v>
      </c>
      <c r="BD99" s="1072"/>
      <c r="BE99" s="1072">
        <f t="shared" si="13"/>
        <v>0</v>
      </c>
      <c r="BF99" s="1073">
        <f>BE99*('Ввод исходных данных'!$D$83-BC99)</f>
        <v>0</v>
      </c>
    </row>
    <row r="100" spans="2:58" ht="15.75" customHeight="1" x14ac:dyDescent="0.25">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9283.4</v>
      </c>
      <c r="J100" s="1059" t="str">
        <f t="shared" si="12"/>
        <v>9000-10000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353.7</v>
      </c>
      <c r="W100" s="1065">
        <v>-6.8</v>
      </c>
      <c r="X100" s="1065"/>
      <c r="Y100" s="1065">
        <f t="shared" si="17"/>
        <v>31</v>
      </c>
      <c r="Z100" s="1065">
        <f>Y100*('Ввод исходных данных'!$D$83-W100)</f>
        <v>768.80000000000007</v>
      </c>
      <c r="AA100" s="1066">
        <v>-23.5</v>
      </c>
      <c r="AB100" s="1066"/>
      <c r="AC100" s="1066">
        <f t="shared" si="18"/>
        <v>30</v>
      </c>
      <c r="AD100" s="1066">
        <f>AC100*('Ввод исходных данных'!$D$83-AA100)</f>
        <v>1245</v>
      </c>
      <c r="AE100" s="1067">
        <v>-32.200000000000003</v>
      </c>
      <c r="AF100" s="1067"/>
      <c r="AG100" s="1067">
        <v>31</v>
      </c>
      <c r="AH100" s="1067">
        <f>AG100*('Ввод исходных данных'!$D$83-AE100)</f>
        <v>1556.2</v>
      </c>
      <c r="AI100" s="1068">
        <v>-34.6</v>
      </c>
      <c r="AJ100" s="1068"/>
      <c r="AK100" s="1068">
        <v>31</v>
      </c>
      <c r="AL100" s="1068">
        <f>AK100*('Ввод исходных данных'!$D$83-AI100)</f>
        <v>1630.6000000000001</v>
      </c>
      <c r="AM100" s="1069">
        <v>-30.3</v>
      </c>
      <c r="AN100" s="1069"/>
      <c r="AO100" s="1069">
        <v>28</v>
      </c>
      <c r="AP100" s="1069">
        <f>AO100*('Ввод исходных данных'!$D$83-AM100)</f>
        <v>1352.3999999999999</v>
      </c>
      <c r="AQ100" s="1064">
        <v>-17.7</v>
      </c>
      <c r="AR100" s="1064"/>
      <c r="AS100" s="1064">
        <f t="shared" si="19"/>
        <v>31</v>
      </c>
      <c r="AT100" s="1064">
        <f>AS100*('Ввод исходных данных'!$D$83-AQ100)</f>
        <v>1106.7</v>
      </c>
      <c r="AU100" s="1070">
        <v>-6.1</v>
      </c>
      <c r="AV100" s="1070"/>
      <c r="AW100" s="1070">
        <f t="shared" si="20"/>
        <v>30</v>
      </c>
      <c r="AX100" s="1070">
        <f>AW100*('Ввод исходных данных'!$D$83-AU100)</f>
        <v>723</v>
      </c>
      <c r="AY100" s="1071">
        <v>4.4000000000000004</v>
      </c>
      <c r="AZ100" s="1071"/>
      <c r="BA100" s="1071">
        <f t="shared" si="21"/>
        <v>27</v>
      </c>
      <c r="BB100" s="1071">
        <f>BA100*('Ввод исходных данных'!$D$83-AY100)</f>
        <v>367.2</v>
      </c>
      <c r="BC100" s="1072">
        <v>13.7</v>
      </c>
      <c r="BD100" s="1072"/>
      <c r="BE100" s="1072">
        <f t="shared" si="13"/>
        <v>0</v>
      </c>
      <c r="BF100" s="1073">
        <f>BE100*('Ввод исходных данных'!$D$83-BC100)</f>
        <v>0</v>
      </c>
    </row>
    <row r="101" spans="2:58" ht="15.75" customHeight="1" x14ac:dyDescent="0.25">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7362.3</v>
      </c>
      <c r="J101" s="1059" t="str">
        <f t="shared" si="12"/>
        <v>7000-8000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227.54999999999998</v>
      </c>
      <c r="W101" s="1065">
        <v>-1.4</v>
      </c>
      <c r="X101" s="1065"/>
      <c r="Y101" s="1065">
        <f t="shared" si="17"/>
        <v>31</v>
      </c>
      <c r="Z101" s="1065">
        <f>Y101*('Ввод исходных данных'!$D$83-W101)</f>
        <v>601.4</v>
      </c>
      <c r="AA101" s="1066">
        <v>-14.4</v>
      </c>
      <c r="AB101" s="1066"/>
      <c r="AC101" s="1066">
        <f t="shared" si="18"/>
        <v>30</v>
      </c>
      <c r="AD101" s="1066">
        <f>AC101*('Ввод исходных данных'!$D$83-AA101)</f>
        <v>972</v>
      </c>
      <c r="AE101" s="1067">
        <v>-23.4</v>
      </c>
      <c r="AF101" s="1067"/>
      <c r="AG101" s="1067">
        <v>31</v>
      </c>
      <c r="AH101" s="1067">
        <f>AG101*('Ввод исходных данных'!$D$83-AE101)</f>
        <v>1283.3999999999999</v>
      </c>
      <c r="AI101" s="1068">
        <v>-24.9</v>
      </c>
      <c r="AJ101" s="1068"/>
      <c r="AK101" s="1068">
        <v>31</v>
      </c>
      <c r="AL101" s="1068">
        <f>AK101*('Ввод исходных данных'!$D$83-AI101)</f>
        <v>1329.8999999999999</v>
      </c>
      <c r="AM101" s="1069">
        <v>-23.2</v>
      </c>
      <c r="AN101" s="1069"/>
      <c r="AO101" s="1069">
        <v>28</v>
      </c>
      <c r="AP101" s="1069">
        <f>AO101*('Ввод исходных данных'!$D$83-AM101)</f>
        <v>1153.6000000000001</v>
      </c>
      <c r="AQ101" s="1064">
        <v>-13.3</v>
      </c>
      <c r="AR101" s="1064"/>
      <c r="AS101" s="1064">
        <f t="shared" si="19"/>
        <v>31</v>
      </c>
      <c r="AT101" s="1064">
        <f>AS101*('Ввод исходных данных'!$D$83-AQ101)</f>
        <v>970.30000000000007</v>
      </c>
      <c r="AU101" s="1070">
        <v>-1.8</v>
      </c>
      <c r="AV101" s="1070"/>
      <c r="AW101" s="1070">
        <f t="shared" si="20"/>
        <v>30</v>
      </c>
      <c r="AX101" s="1070">
        <f>AW101*('Ввод исходных данных'!$D$83-AU101)</f>
        <v>594</v>
      </c>
      <c r="AY101" s="1071">
        <v>6.5</v>
      </c>
      <c r="AZ101" s="1071"/>
      <c r="BA101" s="1071">
        <f t="shared" si="21"/>
        <v>20.5</v>
      </c>
      <c r="BB101" s="1071">
        <f>BA101*('Ввод исходных данных'!$D$83-AY101)</f>
        <v>235.75</v>
      </c>
      <c r="BC101" s="1072">
        <v>14.6</v>
      </c>
      <c r="BD101" s="1072"/>
      <c r="BE101" s="1072">
        <f t="shared" si="13"/>
        <v>0</v>
      </c>
      <c r="BF101" s="1073">
        <f>BE101*('Ввод исходных данных'!$D$83-BC101)</f>
        <v>0</v>
      </c>
    </row>
    <row r="102" spans="2:58" ht="15.75" customHeight="1" x14ac:dyDescent="0.25">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8064.9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301.35000000000002</v>
      </c>
      <c r="W102" s="1065">
        <v>-4</v>
      </c>
      <c r="X102" s="1065"/>
      <c r="Y102" s="1065">
        <f t="shared" si="17"/>
        <v>31</v>
      </c>
      <c r="Z102" s="1065">
        <f>Y102*('Ввод исходных данных'!$D$83-W102)</f>
        <v>682</v>
      </c>
      <c r="AA102" s="1066">
        <v>-18.5</v>
      </c>
      <c r="AB102" s="1066"/>
      <c r="AC102" s="1066">
        <f t="shared" si="18"/>
        <v>30</v>
      </c>
      <c r="AD102" s="1066">
        <f>AC102*('Ввод исходных данных'!$D$83-AA102)</f>
        <v>1095</v>
      </c>
      <c r="AE102" s="1067">
        <v>-27.2</v>
      </c>
      <c r="AF102" s="1067"/>
      <c r="AG102" s="1067">
        <v>31</v>
      </c>
      <c r="AH102" s="1067">
        <f>AG102*('Ввод исходных данных'!$D$83-AE102)</f>
        <v>1401.2</v>
      </c>
      <c r="AI102" s="1068">
        <v>-27.9</v>
      </c>
      <c r="AJ102" s="1068"/>
      <c r="AK102" s="1068">
        <v>31</v>
      </c>
      <c r="AL102" s="1068">
        <f>AK102*('Ввод исходных данных'!$D$83-AI102)</f>
        <v>1422.8999999999999</v>
      </c>
      <c r="AM102" s="1069">
        <v>-25.4</v>
      </c>
      <c r="AN102" s="1069"/>
      <c r="AO102" s="1069">
        <v>28</v>
      </c>
      <c r="AP102" s="1069">
        <f>AO102*('Ввод исходных данных'!$D$83-AM102)</f>
        <v>1215.2</v>
      </c>
      <c r="AQ102" s="1064">
        <v>-14.6</v>
      </c>
      <c r="AR102" s="1064"/>
      <c r="AS102" s="1064">
        <f t="shared" si="19"/>
        <v>31</v>
      </c>
      <c r="AT102" s="1064">
        <f>AS102*('Ввод исходных данных'!$D$83-AQ102)</f>
        <v>1010.6</v>
      </c>
      <c r="AU102" s="1070">
        <v>-3.5</v>
      </c>
      <c r="AV102" s="1070"/>
      <c r="AW102" s="1070">
        <f t="shared" si="20"/>
        <v>30</v>
      </c>
      <c r="AX102" s="1070">
        <f>AW102*('Ввод исходных данных'!$D$83-AU102)</f>
        <v>645</v>
      </c>
      <c r="AY102" s="1071">
        <v>5.6</v>
      </c>
      <c r="AZ102" s="1071"/>
      <c r="BA102" s="1071">
        <f t="shared" si="21"/>
        <v>24.5</v>
      </c>
      <c r="BB102" s="1071">
        <f>BA102*('Ввод исходных данных'!$D$83-AY102)</f>
        <v>303.8</v>
      </c>
      <c r="BC102" s="1072">
        <v>13.9</v>
      </c>
      <c r="BD102" s="1072"/>
      <c r="BE102" s="1072">
        <f t="shared" si="13"/>
        <v>0</v>
      </c>
      <c r="BF102" s="1073">
        <f>BE102*('Ввод исходных данных'!$D$83-BC102)</f>
        <v>0</v>
      </c>
    </row>
    <row r="103" spans="2:58" ht="15.75" customHeight="1" x14ac:dyDescent="0.25">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7560</v>
      </c>
      <c r="J103" s="1059" t="str">
        <f t="shared" si="12"/>
        <v>7000-8000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226</v>
      </c>
      <c r="W103" s="1065">
        <v>-2.2000000000000002</v>
      </c>
      <c r="X103" s="1065"/>
      <c r="Y103" s="1065">
        <f t="shared" si="17"/>
        <v>31</v>
      </c>
      <c r="Z103" s="1065">
        <f>Y103*('Ввод исходных данных'!$D$83-W103)</f>
        <v>626.19999999999993</v>
      </c>
      <c r="AA103" s="1066">
        <v>-14</v>
      </c>
      <c r="AB103" s="1066"/>
      <c r="AC103" s="1066">
        <f t="shared" si="18"/>
        <v>30</v>
      </c>
      <c r="AD103" s="1066">
        <f>AC103*('Ввод исходных данных'!$D$83-AA103)</f>
        <v>960</v>
      </c>
      <c r="AE103" s="1067">
        <v>-23.9</v>
      </c>
      <c r="AF103" s="1067"/>
      <c r="AG103" s="1067">
        <v>31</v>
      </c>
      <c r="AH103" s="1067">
        <f>AG103*('Ввод исходных данных'!$D$83-AE103)</f>
        <v>1298.8999999999999</v>
      </c>
      <c r="AI103" s="1068">
        <v>-26.9</v>
      </c>
      <c r="AJ103" s="1068"/>
      <c r="AK103" s="1068">
        <v>31</v>
      </c>
      <c r="AL103" s="1068">
        <f>AK103*('Ввод исходных данных'!$D$83-AI103)</f>
        <v>1391.8999999999999</v>
      </c>
      <c r="AM103" s="1069">
        <v>-22.7</v>
      </c>
      <c r="AN103" s="1069"/>
      <c r="AO103" s="1069">
        <v>28</v>
      </c>
      <c r="AP103" s="1069">
        <f>AO103*('Ввод исходных данных'!$D$83-AM103)</f>
        <v>1139.6000000000001</v>
      </c>
      <c r="AQ103" s="1064">
        <v>-12.4</v>
      </c>
      <c r="AR103" s="1064"/>
      <c r="AS103" s="1064">
        <f t="shared" si="19"/>
        <v>31</v>
      </c>
      <c r="AT103" s="1064">
        <f>AS103*('Ввод исходных данных'!$D$83-AQ103)</f>
        <v>942.4</v>
      </c>
      <c r="AU103" s="1070">
        <v>-1.5</v>
      </c>
      <c r="AV103" s="1070"/>
      <c r="AW103" s="1070">
        <f t="shared" si="20"/>
        <v>30</v>
      </c>
      <c r="AX103" s="1070">
        <f>AW103*('Ввод исходных данных'!$D$83-AU103)</f>
        <v>585</v>
      </c>
      <c r="AY103" s="1071">
        <v>7.2</v>
      </c>
      <c r="AZ103" s="1071"/>
      <c r="BA103" s="1071">
        <f t="shared" si="21"/>
        <v>20</v>
      </c>
      <c r="BB103" s="1071">
        <f>BA103*('Ввод исходных данных'!$D$83-AY103)</f>
        <v>216</v>
      </c>
      <c r="BC103" s="1072">
        <v>14.6</v>
      </c>
      <c r="BD103" s="1072"/>
      <c r="BE103" s="1072">
        <f t="shared" si="13"/>
        <v>0</v>
      </c>
      <c r="BF103" s="1073">
        <f>BE103*('Ввод исходных данных'!$D$83-BC103)</f>
        <v>0</v>
      </c>
    </row>
    <row r="104" spans="2:58" ht="15.75" customHeight="1" x14ac:dyDescent="0.25">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7894.8</v>
      </c>
      <c r="J104" s="1059" t="str">
        <f t="shared" si="12"/>
        <v>7000-8000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280.59999999999997</v>
      </c>
      <c r="W104" s="1065">
        <v>-3.9</v>
      </c>
      <c r="X104" s="1065"/>
      <c r="Y104" s="1065">
        <f t="shared" si="17"/>
        <v>31</v>
      </c>
      <c r="Z104" s="1065">
        <f>Y104*('Ввод исходных данных'!$D$83-W104)</f>
        <v>678.9</v>
      </c>
      <c r="AA104" s="1066">
        <v>-16.7</v>
      </c>
      <c r="AB104" s="1066"/>
      <c r="AC104" s="1066">
        <f t="shared" si="18"/>
        <v>30</v>
      </c>
      <c r="AD104" s="1066">
        <f>AC104*('Ввод исходных данных'!$D$83-AA104)</f>
        <v>1041</v>
      </c>
      <c r="AE104" s="1067">
        <v>-24.6</v>
      </c>
      <c r="AF104" s="1067"/>
      <c r="AG104" s="1067">
        <v>31</v>
      </c>
      <c r="AH104" s="1067">
        <f>AG104*('Ввод исходных данных'!$D$83-AE104)</f>
        <v>1320.6000000000001</v>
      </c>
      <c r="AI104" s="1068">
        <v>-26.3</v>
      </c>
      <c r="AJ104" s="1068"/>
      <c r="AK104" s="1068">
        <v>31</v>
      </c>
      <c r="AL104" s="1068">
        <f>AK104*('Ввод исходных данных'!$D$83-AI104)</f>
        <v>1373.3</v>
      </c>
      <c r="AM104" s="1069">
        <v>-23.5</v>
      </c>
      <c r="AN104" s="1069"/>
      <c r="AO104" s="1069">
        <v>28</v>
      </c>
      <c r="AP104" s="1069">
        <f>AO104*('Ввод исходных данных'!$D$83-AM104)</f>
        <v>1162</v>
      </c>
      <c r="AQ104" s="1064">
        <v>-14.2</v>
      </c>
      <c r="AR104" s="1064"/>
      <c r="AS104" s="1064">
        <f t="shared" si="19"/>
        <v>31</v>
      </c>
      <c r="AT104" s="1064">
        <f>AS104*('Ввод исходных данных'!$D$83-AQ104)</f>
        <v>998.2</v>
      </c>
      <c r="AU104" s="1070">
        <v>-2.8</v>
      </c>
      <c r="AV104" s="1070"/>
      <c r="AW104" s="1070">
        <f t="shared" si="20"/>
        <v>30</v>
      </c>
      <c r="AX104" s="1070">
        <f>AW104*('Ввод исходных данных'!$D$83-AU104)</f>
        <v>624</v>
      </c>
      <c r="AY104" s="1071">
        <v>6.3</v>
      </c>
      <c r="AZ104" s="1071"/>
      <c r="BA104" s="1071">
        <f t="shared" si="21"/>
        <v>23</v>
      </c>
      <c r="BB104" s="1071">
        <f>BA104*('Ввод исходных данных'!$D$83-AY104)</f>
        <v>269.09999999999997</v>
      </c>
      <c r="BC104" s="1072">
        <v>14.1</v>
      </c>
      <c r="BD104" s="1072"/>
      <c r="BE104" s="1072">
        <f t="shared" si="13"/>
        <v>0</v>
      </c>
      <c r="BF104" s="1073">
        <f>BE104*('Ввод исходных данных'!$D$83-BC104)</f>
        <v>0</v>
      </c>
    </row>
    <row r="105" spans="2:58" ht="15.75" customHeight="1" x14ac:dyDescent="0.25">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8106.7</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286.7</v>
      </c>
      <c r="W105" s="1065">
        <v>-4.0999999999999996</v>
      </c>
      <c r="X105" s="1065"/>
      <c r="Y105" s="1065">
        <f t="shared" si="17"/>
        <v>31</v>
      </c>
      <c r="Z105" s="1065">
        <f>Y105*('Ввод исходных данных'!$D$83-W105)</f>
        <v>685.1</v>
      </c>
      <c r="AA105" s="1066">
        <v>-18.600000000000001</v>
      </c>
      <c r="AB105" s="1066"/>
      <c r="AC105" s="1066">
        <f t="shared" si="18"/>
        <v>30</v>
      </c>
      <c r="AD105" s="1066">
        <f>AC105*('Ввод исходных данных'!$D$83-AA105)</f>
        <v>1098</v>
      </c>
      <c r="AE105" s="1067">
        <v>-28.4</v>
      </c>
      <c r="AF105" s="1067"/>
      <c r="AG105" s="1067">
        <v>31</v>
      </c>
      <c r="AH105" s="1067">
        <f>AG105*('Ввод исходных данных'!$D$83-AE105)</f>
        <v>1438.3999999999999</v>
      </c>
      <c r="AI105" s="1068">
        <v>-29.2</v>
      </c>
      <c r="AJ105" s="1068"/>
      <c r="AK105" s="1068">
        <v>31</v>
      </c>
      <c r="AL105" s="1068">
        <f>AK105*('Ввод исходных данных'!$D$83-AI105)</f>
        <v>1463.2</v>
      </c>
      <c r="AM105" s="1069">
        <v>-24.2</v>
      </c>
      <c r="AN105" s="1069"/>
      <c r="AO105" s="1069">
        <v>28</v>
      </c>
      <c r="AP105" s="1069">
        <f>AO105*('Ввод исходных данных'!$D$83-AM105)</f>
        <v>1181.6000000000001</v>
      </c>
      <c r="AQ105" s="1064">
        <v>-15.4</v>
      </c>
      <c r="AR105" s="1064"/>
      <c r="AS105" s="1064">
        <f t="shared" si="19"/>
        <v>31</v>
      </c>
      <c r="AT105" s="1064">
        <f>AS105*('Ввод исходных данных'!$D$83-AQ105)</f>
        <v>1035.3999999999999</v>
      </c>
      <c r="AU105" s="1070">
        <v>-3.9</v>
      </c>
      <c r="AV105" s="1070"/>
      <c r="AW105" s="1070">
        <f t="shared" si="20"/>
        <v>30</v>
      </c>
      <c r="AX105" s="1070">
        <f>AW105*('Ввод исходных данных'!$D$83-AU105)</f>
        <v>657</v>
      </c>
      <c r="AY105" s="1071">
        <v>5.6</v>
      </c>
      <c r="AZ105" s="1071"/>
      <c r="BA105" s="1071">
        <f t="shared" si="21"/>
        <v>23.5</v>
      </c>
      <c r="BB105" s="1071">
        <f>BA105*('Ввод исходных данных'!$D$83-AY105)</f>
        <v>291.40000000000003</v>
      </c>
      <c r="BC105" s="1072">
        <v>14.7</v>
      </c>
      <c r="BD105" s="1072"/>
      <c r="BE105" s="1072">
        <f t="shared" si="13"/>
        <v>0</v>
      </c>
      <c r="BF105" s="1073">
        <f>BE105*('Ввод исходных данных'!$D$83-BC105)</f>
        <v>0</v>
      </c>
    </row>
    <row r="106" spans="2:58" ht="15.75" customHeight="1" x14ac:dyDescent="0.25">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6341.4000000000005</v>
      </c>
      <c r="J106" s="1059" t="str">
        <f t="shared" si="12"/>
        <v>6000-7000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104.5</v>
      </c>
      <c r="W106" s="1065">
        <v>0.8</v>
      </c>
      <c r="X106" s="1065"/>
      <c r="Y106" s="1065">
        <f t="shared" si="17"/>
        <v>31</v>
      </c>
      <c r="Z106" s="1065">
        <f>Y106*('Ввод исходных данных'!$D$83-W106)</f>
        <v>533.19999999999993</v>
      </c>
      <c r="AA106" s="1066">
        <v>-9.4</v>
      </c>
      <c r="AB106" s="1066"/>
      <c r="AC106" s="1066">
        <f t="shared" si="18"/>
        <v>30</v>
      </c>
      <c r="AD106" s="1066">
        <f>AC106*('Ввод исходных данных'!$D$83-AA106)</f>
        <v>822</v>
      </c>
      <c r="AE106" s="1067">
        <v>-16.3</v>
      </c>
      <c r="AF106" s="1067"/>
      <c r="AG106" s="1067">
        <v>31</v>
      </c>
      <c r="AH106" s="1067">
        <f>AG106*('Ввод исходных данных'!$D$83-AE106)</f>
        <v>1063.3</v>
      </c>
      <c r="AI106" s="1068">
        <v>-18.3</v>
      </c>
      <c r="AJ106" s="1068"/>
      <c r="AK106" s="1068">
        <v>31</v>
      </c>
      <c r="AL106" s="1068">
        <f>AK106*('Ввод исходных данных'!$D$83-AI106)</f>
        <v>1125.3</v>
      </c>
      <c r="AM106" s="1069">
        <v>-14</v>
      </c>
      <c r="AN106" s="1069"/>
      <c r="AO106" s="1069">
        <v>28</v>
      </c>
      <c r="AP106" s="1069">
        <f>AO106*('Ввод исходных данных'!$D$83-AM106)</f>
        <v>896</v>
      </c>
      <c r="AQ106" s="1064">
        <v>-6.8</v>
      </c>
      <c r="AR106" s="1064"/>
      <c r="AS106" s="1064">
        <f t="shared" si="19"/>
        <v>31</v>
      </c>
      <c r="AT106" s="1064">
        <f>AS106*('Ввод исходных данных'!$D$83-AQ106)</f>
        <v>768.80000000000007</v>
      </c>
      <c r="AU106" s="1070">
        <v>1.7</v>
      </c>
      <c r="AV106" s="1070"/>
      <c r="AW106" s="1070">
        <f t="shared" si="20"/>
        <v>30</v>
      </c>
      <c r="AX106" s="1070">
        <f>AW106*('Ввод исходных данных'!$D$83-AU106)</f>
        <v>489</v>
      </c>
      <c r="AY106" s="1071">
        <v>10.1</v>
      </c>
      <c r="AZ106" s="1071"/>
      <c r="BA106" s="1071">
        <f t="shared" si="21"/>
        <v>11</v>
      </c>
      <c r="BB106" s="1071">
        <f>BA106*('Ввод исходных данных'!$D$83-AY106)</f>
        <v>86.9</v>
      </c>
      <c r="BC106" s="1072">
        <v>15.5</v>
      </c>
      <c r="BD106" s="1072"/>
      <c r="BE106" s="1072">
        <f t="shared" si="13"/>
        <v>0</v>
      </c>
      <c r="BF106" s="1073">
        <f>BE106*('Ввод исходных данных'!$D$83-BC106)</f>
        <v>0</v>
      </c>
    </row>
    <row r="107" spans="2:58" ht="15.75" customHeight="1" x14ac:dyDescent="0.25">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6197.5999999999995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214.2</v>
      </c>
      <c r="W107" s="1065">
        <v>-1.7</v>
      </c>
      <c r="X107" s="1065"/>
      <c r="Y107" s="1065">
        <f t="shared" si="17"/>
        <v>31</v>
      </c>
      <c r="Z107" s="1065">
        <f>Y107*('Ввод исходных данных'!$D$83-W107)</f>
        <v>610.69999999999993</v>
      </c>
      <c r="AA107" s="1066">
        <v>-7.3</v>
      </c>
      <c r="AB107" s="1066"/>
      <c r="AC107" s="1066">
        <f t="shared" si="18"/>
        <v>30</v>
      </c>
      <c r="AD107" s="1066">
        <f>AC107*('Ввод исходных данных'!$D$83-AA107)</f>
        <v>759</v>
      </c>
      <c r="AE107" s="1067">
        <v>-13.5</v>
      </c>
      <c r="AF107" s="1067"/>
      <c r="AG107" s="1067">
        <v>31</v>
      </c>
      <c r="AH107" s="1067">
        <f>AG107*('Ввод исходных данных'!$D$83-AE107)</f>
        <v>976.5</v>
      </c>
      <c r="AI107" s="1068">
        <v>-17.399999999999999</v>
      </c>
      <c r="AJ107" s="1068"/>
      <c r="AK107" s="1068">
        <v>31</v>
      </c>
      <c r="AL107" s="1068">
        <f>AK107*('Ввод исходных данных'!$D$83-AI107)</f>
        <v>1097.3999999999999</v>
      </c>
      <c r="AM107" s="1069">
        <v>-17</v>
      </c>
      <c r="AN107" s="1069"/>
      <c r="AO107" s="1069">
        <v>28</v>
      </c>
      <c r="AP107" s="1069">
        <f>AO107*('Ввод исходных данных'!$D$83-AM107)</f>
        <v>980</v>
      </c>
      <c r="AQ107" s="1064">
        <v>-9.9</v>
      </c>
      <c r="AR107" s="1064"/>
      <c r="AS107" s="1064">
        <f t="shared" si="19"/>
        <v>31</v>
      </c>
      <c r="AT107" s="1064">
        <f>AS107*('Ввод исходных данных'!$D$83-AQ107)</f>
        <v>864.9</v>
      </c>
      <c r="AU107" s="1070">
        <v>-0.3</v>
      </c>
      <c r="AV107" s="1070"/>
      <c r="AW107" s="1070">
        <f t="shared" si="20"/>
        <v>30</v>
      </c>
      <c r="AX107" s="1070">
        <f>AW107*('Ввод исходных данных'!$D$83-AU107)</f>
        <v>549</v>
      </c>
      <c r="AY107" s="1071">
        <v>6</v>
      </c>
      <c r="AZ107" s="1071"/>
      <c r="BA107" s="1071">
        <f t="shared" si="21"/>
        <v>21</v>
      </c>
      <c r="BB107" s="1071">
        <f>BA107*('Ввод исходных данных'!$D$83-AY107)</f>
        <v>252</v>
      </c>
      <c r="BC107" s="1072">
        <v>11.8</v>
      </c>
      <c r="BD107" s="1072"/>
      <c r="BE107" s="1072">
        <f t="shared" si="13"/>
        <v>0</v>
      </c>
      <c r="BF107" s="1073">
        <f>BE107*('Ввод исходных данных'!$D$83-BC107)</f>
        <v>0</v>
      </c>
    </row>
    <row r="108" spans="2:58" ht="15.75" customHeight="1" x14ac:dyDescent="0.25">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6185.7000000000007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120</v>
      </c>
      <c r="W108" s="1065">
        <v>0.5</v>
      </c>
      <c r="X108" s="1065"/>
      <c r="Y108" s="1065">
        <f t="shared" si="17"/>
        <v>31</v>
      </c>
      <c r="Z108" s="1065">
        <f>Y108*('Ввод исходных данных'!$D$83-W108)</f>
        <v>542.5</v>
      </c>
      <c r="AA108" s="1066">
        <v>-9.1</v>
      </c>
      <c r="AB108" s="1066"/>
      <c r="AC108" s="1066">
        <f t="shared" si="18"/>
        <v>30</v>
      </c>
      <c r="AD108" s="1066">
        <f>AC108*('Ввод исходных данных'!$D$83-AA108)</f>
        <v>813</v>
      </c>
      <c r="AE108" s="1067">
        <v>-16.7</v>
      </c>
      <c r="AF108" s="1067"/>
      <c r="AG108" s="1067">
        <v>31</v>
      </c>
      <c r="AH108" s="1067">
        <f>AG108*('Ввод исходных данных'!$D$83-AE108)</f>
        <v>1075.7</v>
      </c>
      <c r="AI108" s="1068">
        <v>-18.899999999999999</v>
      </c>
      <c r="AJ108" s="1068"/>
      <c r="AK108" s="1068">
        <v>31</v>
      </c>
      <c r="AL108" s="1068">
        <f>AK108*('Ввод исходных данных'!$D$83-AI108)</f>
        <v>1143.8999999999999</v>
      </c>
      <c r="AM108" s="1069">
        <v>-16.100000000000001</v>
      </c>
      <c r="AN108" s="1069"/>
      <c r="AO108" s="1069">
        <v>28</v>
      </c>
      <c r="AP108" s="1069">
        <f>AO108*('Ввод исходных данных'!$D$83-AM108)</f>
        <v>954.80000000000007</v>
      </c>
      <c r="AQ108" s="1064">
        <v>-7.7</v>
      </c>
      <c r="AR108" s="1064"/>
      <c r="AS108" s="1064">
        <f t="shared" si="19"/>
        <v>31</v>
      </c>
      <c r="AT108" s="1064">
        <f>AS108*('Ввод исходных данных'!$D$83-AQ108)</f>
        <v>796.69999999999993</v>
      </c>
      <c r="AU108" s="1070">
        <v>1.3</v>
      </c>
      <c r="AV108" s="1070"/>
      <c r="AW108" s="1070">
        <f t="shared" si="20"/>
        <v>30</v>
      </c>
      <c r="AX108" s="1070">
        <f>AW108*('Ввод исходных данных'!$D$83-AU108)</f>
        <v>501</v>
      </c>
      <c r="AY108" s="1071">
        <v>9.3000000000000007</v>
      </c>
      <c r="AZ108" s="1071"/>
      <c r="BA108" s="1071">
        <f t="shared" si="21"/>
        <v>12.5</v>
      </c>
      <c r="BB108" s="1071">
        <f>BA108*('Ввод исходных данных'!$D$83-AY108)</f>
        <v>108.74999999999999</v>
      </c>
      <c r="BC108" s="1072">
        <v>15.9</v>
      </c>
      <c r="BD108" s="1072"/>
      <c r="BE108" s="1072">
        <f t="shared" si="13"/>
        <v>0</v>
      </c>
      <c r="BF108" s="1073">
        <f>BE108*('Ввод исходных данных'!$D$83-BC108)</f>
        <v>0</v>
      </c>
    </row>
    <row r="109" spans="2:58" ht="15.75" customHeight="1" x14ac:dyDescent="0.25">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6410.6</v>
      </c>
      <c r="J109" s="1059" t="str">
        <f t="shared" si="12"/>
        <v>6000-7000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146.44999999999999</v>
      </c>
      <c r="W109" s="1065">
        <v>-0.2</v>
      </c>
      <c r="X109" s="1065"/>
      <c r="Y109" s="1065">
        <f t="shared" si="17"/>
        <v>31</v>
      </c>
      <c r="Z109" s="1065">
        <f>Y109*('Ввод исходных данных'!$D$83-W109)</f>
        <v>564.19999999999993</v>
      </c>
      <c r="AA109" s="1066">
        <v>-10.1</v>
      </c>
      <c r="AB109" s="1066"/>
      <c r="AC109" s="1066">
        <f t="shared" si="18"/>
        <v>30</v>
      </c>
      <c r="AD109" s="1066">
        <f>AC109*('Ввод исходных данных'!$D$83-AA109)</f>
        <v>843</v>
      </c>
      <c r="AE109" s="1067">
        <v>-17.8</v>
      </c>
      <c r="AF109" s="1067"/>
      <c r="AG109" s="1067">
        <v>31</v>
      </c>
      <c r="AH109" s="1067">
        <f>AG109*('Ввод исходных данных'!$D$83-AE109)</f>
        <v>1109.8</v>
      </c>
      <c r="AI109" s="1068">
        <v>-20.100000000000001</v>
      </c>
      <c r="AJ109" s="1068"/>
      <c r="AK109" s="1068">
        <v>31</v>
      </c>
      <c r="AL109" s="1068">
        <f>AK109*('Ввод исходных данных'!$D$83-AI109)</f>
        <v>1181.1000000000001</v>
      </c>
      <c r="AM109" s="1069">
        <v>-16.5</v>
      </c>
      <c r="AN109" s="1069"/>
      <c r="AO109" s="1069">
        <v>28</v>
      </c>
      <c r="AP109" s="1069">
        <f>AO109*('Ввод исходных данных'!$D$83-AM109)</f>
        <v>966</v>
      </c>
      <c r="AQ109" s="1064">
        <v>-8.1999999999999993</v>
      </c>
      <c r="AR109" s="1064"/>
      <c r="AS109" s="1064">
        <f t="shared" si="19"/>
        <v>31</v>
      </c>
      <c r="AT109" s="1064">
        <f>AS109*('Ввод исходных данных'!$D$83-AQ109)</f>
        <v>812.19999999999993</v>
      </c>
      <c r="AU109" s="1070">
        <v>0.8</v>
      </c>
      <c r="AV109" s="1070"/>
      <c r="AW109" s="1070">
        <f t="shared" si="20"/>
        <v>30</v>
      </c>
      <c r="AX109" s="1070">
        <f>AW109*('Ввод исходных данных'!$D$83-AU109)</f>
        <v>516</v>
      </c>
      <c r="AY109" s="1071">
        <v>8.9</v>
      </c>
      <c r="AZ109" s="1071"/>
      <c r="BA109" s="1071">
        <f t="shared" si="21"/>
        <v>14.5</v>
      </c>
      <c r="BB109" s="1071">
        <f>BA109*('Ввод исходных данных'!$D$83-AY109)</f>
        <v>131.94999999999999</v>
      </c>
      <c r="BC109" s="1072">
        <v>15.1</v>
      </c>
      <c r="BD109" s="1072"/>
      <c r="BE109" s="1072">
        <f t="shared" si="13"/>
        <v>0</v>
      </c>
      <c r="BF109" s="1073">
        <f>BE109*('Ввод исходных данных'!$D$83-BC109)</f>
        <v>0</v>
      </c>
    </row>
    <row r="110" spans="2:58" ht="15.75" customHeight="1" x14ac:dyDescent="0.25">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7022.7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159.65</v>
      </c>
      <c r="W110" s="1065">
        <v>-0.8</v>
      </c>
      <c r="X110" s="1065"/>
      <c r="Y110" s="1065">
        <f t="shared" si="17"/>
        <v>31</v>
      </c>
      <c r="Z110" s="1065">
        <f>Y110*('Ввод исходных данных'!$D$83-W110)</f>
        <v>582.80000000000007</v>
      </c>
      <c r="AA110" s="1066">
        <v>-14.2</v>
      </c>
      <c r="AB110" s="1066"/>
      <c r="AC110" s="1066">
        <f t="shared" si="18"/>
        <v>30</v>
      </c>
      <c r="AD110" s="1066">
        <f>AC110*('Ввод исходных данных'!$D$83-AA110)</f>
        <v>966.00000000000011</v>
      </c>
      <c r="AE110" s="1067">
        <v>-21.9</v>
      </c>
      <c r="AF110" s="1067"/>
      <c r="AG110" s="1067">
        <v>31</v>
      </c>
      <c r="AH110" s="1067">
        <f>AG110*('Ввод исходных данных'!$D$83-AE110)</f>
        <v>1236.8999999999999</v>
      </c>
      <c r="AI110" s="1068">
        <v>-24.8</v>
      </c>
      <c r="AJ110" s="1068"/>
      <c r="AK110" s="1068">
        <v>31</v>
      </c>
      <c r="AL110" s="1068">
        <f>AK110*('Ввод исходных данных'!$D$83-AI110)</f>
        <v>1326.8</v>
      </c>
      <c r="AM110" s="1069">
        <v>-22.3</v>
      </c>
      <c r="AN110" s="1069"/>
      <c r="AO110" s="1069">
        <v>28</v>
      </c>
      <c r="AP110" s="1069">
        <f>AO110*('Ввод исходных данных'!$D$83-AM110)</f>
        <v>1128.3999999999999</v>
      </c>
      <c r="AQ110" s="1064">
        <v>-12.5</v>
      </c>
      <c r="AR110" s="1064"/>
      <c r="AS110" s="1064">
        <f t="shared" si="19"/>
        <v>31</v>
      </c>
      <c r="AT110" s="1064">
        <f>AS110*('Ввод исходных данных'!$D$83-AQ110)</f>
        <v>945.5</v>
      </c>
      <c r="AU110" s="1070">
        <v>0.6</v>
      </c>
      <c r="AV110" s="1070"/>
      <c r="AW110" s="1070">
        <f t="shared" si="20"/>
        <v>30</v>
      </c>
      <c r="AX110" s="1070">
        <f>AW110*('Ввод исходных данных'!$D$83-AU110)</f>
        <v>522</v>
      </c>
      <c r="AY110" s="1071">
        <v>8.1999999999999993</v>
      </c>
      <c r="AZ110" s="1071"/>
      <c r="BA110" s="1071">
        <f t="shared" si="21"/>
        <v>15.5</v>
      </c>
      <c r="BB110" s="1071">
        <f>BA110*('Ввод исходных данных'!$D$83-AY110)</f>
        <v>151.9</v>
      </c>
      <c r="BC110" s="1072">
        <v>15.6</v>
      </c>
      <c r="BD110" s="1072"/>
      <c r="BE110" s="1072">
        <f t="shared" si="13"/>
        <v>0</v>
      </c>
      <c r="BF110" s="1073">
        <f>BE110*('Ввод исходных данных'!$D$83-BC110)</f>
        <v>0</v>
      </c>
    </row>
    <row r="111" spans="2:58" ht="15.75" customHeight="1" x14ac:dyDescent="0.25">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2923.2</v>
      </c>
      <c r="J111" s="1059" t="str">
        <f t="shared" si="12"/>
        <v>2000-3000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73.099999999999994</v>
      </c>
      <c r="AA111" s="1066">
        <v>3.8</v>
      </c>
      <c r="AB111" s="1066"/>
      <c r="AC111" s="1066">
        <f t="shared" si="18"/>
        <v>30</v>
      </c>
      <c r="AD111" s="1066">
        <f>AC111*('Ввод исходных данных'!$D$83-AA111)</f>
        <v>426</v>
      </c>
      <c r="AE111" s="1067">
        <v>-1.3</v>
      </c>
      <c r="AF111" s="1067"/>
      <c r="AG111" s="1067">
        <v>31</v>
      </c>
      <c r="AH111" s="1067">
        <f>AG111*('Ввод исходных данных'!$D$83-AE111)</f>
        <v>598.30000000000007</v>
      </c>
      <c r="AI111" s="1068">
        <v>-4</v>
      </c>
      <c r="AJ111" s="1068"/>
      <c r="AK111" s="1068">
        <v>31</v>
      </c>
      <c r="AL111" s="1068">
        <f>AK111*('Ввод исходных данных'!$D$83-AI111)</f>
        <v>682</v>
      </c>
      <c r="AM111" s="1069">
        <v>-2.8</v>
      </c>
      <c r="AN111" s="1069"/>
      <c r="AO111" s="1069">
        <v>28</v>
      </c>
      <c r="AP111" s="1069">
        <f>AO111*('Ввод исходных данных'!$D$83-AM111)</f>
        <v>582.4</v>
      </c>
      <c r="AQ111" s="1064">
        <v>1.8</v>
      </c>
      <c r="AR111" s="1064"/>
      <c r="AS111" s="1064">
        <f t="shared" si="19"/>
        <v>31</v>
      </c>
      <c r="AT111" s="1064">
        <f>AS111*('Ввод исходных данных'!$D$83-AQ111)</f>
        <v>502.2</v>
      </c>
      <c r="AU111" s="1070">
        <v>9.5</v>
      </c>
      <c r="AV111" s="1070"/>
      <c r="AW111" s="1070">
        <f t="shared" si="20"/>
        <v>8.5</v>
      </c>
      <c r="AX111" s="1070">
        <f>AW111*('Ввод исходных данных'!$D$83-AU111)</f>
        <v>72.25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25">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3158.4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179.45</v>
      </c>
      <c r="AA112" s="1066">
        <v>3.4</v>
      </c>
      <c r="AB112" s="1066"/>
      <c r="AC112" s="1066">
        <f t="shared" si="18"/>
        <v>30</v>
      </c>
      <c r="AD112" s="1066">
        <f>AC112*('Ввод исходных данных'!$D$83-AA112)</f>
        <v>438</v>
      </c>
      <c r="AE112" s="1067">
        <v>-0.4</v>
      </c>
      <c r="AF112" s="1067"/>
      <c r="AG112" s="1067">
        <v>31</v>
      </c>
      <c r="AH112" s="1067">
        <f>AG112*('Ввод исходных данных'!$D$83-AE112)</f>
        <v>570.4</v>
      </c>
      <c r="AI112" s="1068">
        <v>-2.2000000000000002</v>
      </c>
      <c r="AJ112" s="1068"/>
      <c r="AK112" s="1068">
        <v>31</v>
      </c>
      <c r="AL112" s="1068">
        <f>AK112*('Ввод исходных данных'!$D$83-AI112)</f>
        <v>626.19999999999993</v>
      </c>
      <c r="AM112" s="1069">
        <v>-1.7</v>
      </c>
      <c r="AN112" s="1069"/>
      <c r="AO112" s="1069">
        <v>28</v>
      </c>
      <c r="AP112" s="1069">
        <f>AO112*('Ввод исходных данных'!$D$83-AM112)</f>
        <v>551.6</v>
      </c>
      <c r="AQ112" s="1064">
        <v>1.7</v>
      </c>
      <c r="AR112" s="1064"/>
      <c r="AS112" s="1064">
        <f t="shared" si="19"/>
        <v>31</v>
      </c>
      <c r="AT112" s="1064">
        <f>AS112*('Ввод исходных данных'!$D$83-AQ112)</f>
        <v>505.3</v>
      </c>
      <c r="AU112" s="1070">
        <v>6.7</v>
      </c>
      <c r="AV112" s="1070"/>
      <c r="AW112" s="1070">
        <f t="shared" si="20"/>
        <v>18.5</v>
      </c>
      <c r="AX112" s="1070">
        <f>AW112*('Ввод исходных данных'!$D$83-AU112)</f>
        <v>209.05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25">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4389</v>
      </c>
      <c r="J113" s="1059" t="str">
        <f t="shared" si="12"/>
        <v>4000-5000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392.35</v>
      </c>
      <c r="AA113" s="1066">
        <v>-1.5</v>
      </c>
      <c r="AB113" s="1066"/>
      <c r="AC113" s="1066">
        <f t="shared" si="18"/>
        <v>30</v>
      </c>
      <c r="AD113" s="1066">
        <f>AC113*('Ввод исходных данных'!$D$83-AA113)</f>
        <v>585</v>
      </c>
      <c r="AE113" s="1067">
        <v>-6.5</v>
      </c>
      <c r="AF113" s="1067"/>
      <c r="AG113" s="1067">
        <v>31</v>
      </c>
      <c r="AH113" s="1067">
        <f>AG113*('Ввод исходных данных'!$D$83-AE113)</f>
        <v>759.5</v>
      </c>
      <c r="AI113" s="1068">
        <v>-10.1</v>
      </c>
      <c r="AJ113" s="1068"/>
      <c r="AK113" s="1068">
        <v>31</v>
      </c>
      <c r="AL113" s="1068">
        <f>AK113*('Ввод исходных данных'!$D$83-AI113)</f>
        <v>871.1</v>
      </c>
      <c r="AM113" s="1069">
        <v>-8.9</v>
      </c>
      <c r="AN113" s="1069"/>
      <c r="AO113" s="1069">
        <v>28</v>
      </c>
      <c r="AP113" s="1069">
        <f>AO113*('Ввод исходных данных'!$D$83-AM113)</f>
        <v>753.19999999999993</v>
      </c>
      <c r="AQ113" s="1064">
        <v>-3.9</v>
      </c>
      <c r="AR113" s="1064"/>
      <c r="AS113" s="1064">
        <f t="shared" si="19"/>
        <v>31</v>
      </c>
      <c r="AT113" s="1064">
        <f>AS113*('Ввод исходных данных'!$D$83-AQ113)</f>
        <v>678.9</v>
      </c>
      <c r="AU113" s="1070">
        <v>4.8</v>
      </c>
      <c r="AV113" s="1070"/>
      <c r="AW113" s="1070">
        <f t="shared" si="20"/>
        <v>29.5</v>
      </c>
      <c r="AX113" s="1070">
        <f>AW113*('Ввод исходных данных'!$D$83-AU113)</f>
        <v>389.4</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25">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6806.8</v>
      </c>
      <c r="J114" s="1059" t="str">
        <f t="shared" si="12"/>
        <v>6000-7000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47.45</v>
      </c>
      <c r="S114" s="1064">
        <v>7</v>
      </c>
      <c r="T114" s="1064"/>
      <c r="U114" s="1064">
        <f t="shared" si="16"/>
        <v>30</v>
      </c>
      <c r="V114" s="1064">
        <f>U114*('Ввод исходных данных'!$D$83-S114)</f>
        <v>330</v>
      </c>
      <c r="W114" s="1065">
        <v>-0.6</v>
      </c>
      <c r="X114" s="1065"/>
      <c r="Y114" s="1065">
        <f t="shared" si="17"/>
        <v>31</v>
      </c>
      <c r="Z114" s="1065">
        <f>Y114*('Ввод исходных данных'!$D$83-W114)</f>
        <v>576.6</v>
      </c>
      <c r="AA114" s="1066">
        <v>-7.6</v>
      </c>
      <c r="AB114" s="1066"/>
      <c r="AC114" s="1066">
        <f t="shared" si="18"/>
        <v>30</v>
      </c>
      <c r="AD114" s="1066">
        <f>AC114*('Ввод исходных данных'!$D$83-AA114)</f>
        <v>768</v>
      </c>
      <c r="AE114" s="1067">
        <v>-12</v>
      </c>
      <c r="AF114" s="1067"/>
      <c r="AG114" s="1067">
        <v>31</v>
      </c>
      <c r="AH114" s="1067">
        <f>AG114*('Ввод исходных данных'!$D$83-AE114)</f>
        <v>930</v>
      </c>
      <c r="AI114" s="1068">
        <v>-12.4</v>
      </c>
      <c r="AJ114" s="1068"/>
      <c r="AK114" s="1068">
        <v>31</v>
      </c>
      <c r="AL114" s="1068">
        <f>AK114*('Ввод исходных данных'!$D$83-AI114)</f>
        <v>942.4</v>
      </c>
      <c r="AM114" s="1069">
        <v>-12.7</v>
      </c>
      <c r="AN114" s="1069"/>
      <c r="AO114" s="1069">
        <v>28</v>
      </c>
      <c r="AP114" s="1069">
        <f>AO114*('Ввод исходных данных'!$D$83-AM114)</f>
        <v>859.6</v>
      </c>
      <c r="AQ114" s="1064">
        <v>-11</v>
      </c>
      <c r="AR114" s="1064"/>
      <c r="AS114" s="1064">
        <f t="shared" si="19"/>
        <v>31</v>
      </c>
      <c r="AT114" s="1064">
        <f>AS114*('Ввод исходных данных'!$D$83-AQ114)</f>
        <v>899</v>
      </c>
      <c r="AU114" s="1070">
        <v>-6.4</v>
      </c>
      <c r="AV114" s="1070"/>
      <c r="AW114" s="1070">
        <f t="shared" si="20"/>
        <v>30</v>
      </c>
      <c r="AX114" s="1070">
        <f>AW114*('Ввод исходных данных'!$D$83-AU114)</f>
        <v>732</v>
      </c>
      <c r="AY114" s="1071">
        <v>1</v>
      </c>
      <c r="AZ114" s="1071"/>
      <c r="BA114" s="1071">
        <f t="shared" si="21"/>
        <v>31</v>
      </c>
      <c r="BB114" s="1071">
        <f>BA114*('Ввод исходных данных'!$D$83-AY114)</f>
        <v>527</v>
      </c>
      <c r="BC114" s="1072">
        <v>6.7</v>
      </c>
      <c r="BD114" s="1072"/>
      <c r="BE114" s="1072">
        <f t="shared" si="13"/>
        <v>6.5</v>
      </c>
      <c r="BF114" s="1073">
        <f>BE114*('Ввод исходных данных'!$D$83-BC114)</f>
        <v>73.45</v>
      </c>
    </row>
    <row r="115" spans="2:58" ht="15.75" customHeight="1" x14ac:dyDescent="0.25">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6099.6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9.6000000000000014</v>
      </c>
      <c r="S115" s="1064">
        <v>8.8000000000000007</v>
      </c>
      <c r="T115" s="1064"/>
      <c r="U115" s="1064">
        <f t="shared" si="16"/>
        <v>30</v>
      </c>
      <c r="V115" s="1064">
        <f>U115*('Ввод исходных данных'!$D$83-S115)</f>
        <v>276</v>
      </c>
      <c r="W115" s="1065">
        <v>3.7</v>
      </c>
      <c r="X115" s="1065"/>
      <c r="Y115" s="1065">
        <f t="shared" si="17"/>
        <v>31</v>
      </c>
      <c r="Z115" s="1065">
        <f>Y115*('Ввод исходных данных'!$D$83-W115)</f>
        <v>443.3</v>
      </c>
      <c r="AA115" s="1066">
        <v>-3.5</v>
      </c>
      <c r="AB115" s="1066"/>
      <c r="AC115" s="1066">
        <f t="shared" si="18"/>
        <v>30</v>
      </c>
      <c r="AD115" s="1066">
        <f>AC115*('Ввод исходных данных'!$D$83-AA115)</f>
        <v>645</v>
      </c>
      <c r="AE115" s="1067">
        <v>-9.3000000000000007</v>
      </c>
      <c r="AF115" s="1067"/>
      <c r="AG115" s="1067">
        <v>31</v>
      </c>
      <c r="AH115" s="1067">
        <f>AG115*('Ввод исходных данных'!$D$83-AE115)</f>
        <v>846.30000000000007</v>
      </c>
      <c r="AI115" s="1068">
        <v>-12.3</v>
      </c>
      <c r="AJ115" s="1068"/>
      <c r="AK115" s="1068">
        <v>31</v>
      </c>
      <c r="AL115" s="1068">
        <f>AK115*('Ввод исходных данных'!$D$83-AI115)</f>
        <v>939.30000000000007</v>
      </c>
      <c r="AM115" s="1069">
        <v>-12.3</v>
      </c>
      <c r="AN115" s="1069"/>
      <c r="AO115" s="1069">
        <v>28</v>
      </c>
      <c r="AP115" s="1069">
        <f>AO115*('Ввод исходных данных'!$D$83-AM115)</f>
        <v>848.4</v>
      </c>
      <c r="AQ115" s="1064">
        <v>-8.6</v>
      </c>
      <c r="AR115" s="1064"/>
      <c r="AS115" s="1064">
        <f t="shared" si="19"/>
        <v>31</v>
      </c>
      <c r="AT115" s="1064">
        <f>AS115*('Ввод исходных данных'!$D$83-AQ115)</f>
        <v>824.6</v>
      </c>
      <c r="AU115" s="1070">
        <v>-2.8</v>
      </c>
      <c r="AV115" s="1070"/>
      <c r="AW115" s="1070">
        <f t="shared" si="20"/>
        <v>30</v>
      </c>
      <c r="AX115" s="1070">
        <f>AW115*('Ввод исходных данных'!$D$83-AU115)</f>
        <v>624</v>
      </c>
      <c r="AY115" s="1071">
        <v>2.2999999999999998</v>
      </c>
      <c r="AZ115" s="1071"/>
      <c r="BA115" s="1071">
        <f t="shared" si="21"/>
        <v>31</v>
      </c>
      <c r="BB115" s="1071">
        <f>BA115*('Ввод исходных данных'!$D$83-AY115)</f>
        <v>486.7</v>
      </c>
      <c r="BC115" s="1072">
        <v>6.7</v>
      </c>
      <c r="BD115" s="1072"/>
      <c r="BE115" s="1072">
        <f t="shared" si="13"/>
        <v>1.5</v>
      </c>
      <c r="BF115" s="1073">
        <f>BE115*('Ввод исходных данных'!$D$83-BC115)</f>
        <v>16.950000000000003</v>
      </c>
    </row>
    <row r="116" spans="2:58" ht="15.75" customHeight="1" x14ac:dyDescent="0.25">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6174.6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175.5</v>
      </c>
      <c r="W116" s="1065">
        <v>2.4</v>
      </c>
      <c r="X116" s="1065"/>
      <c r="Y116" s="1065">
        <f t="shared" si="17"/>
        <v>31</v>
      </c>
      <c r="Z116" s="1065">
        <f>Y116*('Ввод исходных данных'!$D$83-W116)</f>
        <v>483.59999999999997</v>
      </c>
      <c r="AA116" s="1066">
        <v>-6.6</v>
      </c>
      <c r="AB116" s="1066"/>
      <c r="AC116" s="1066">
        <f t="shared" si="18"/>
        <v>30</v>
      </c>
      <c r="AD116" s="1066">
        <f>AC116*('Ввод исходных данных'!$D$83-AA116)</f>
        <v>738</v>
      </c>
      <c r="AE116" s="1067">
        <v>-14.2</v>
      </c>
      <c r="AF116" s="1067"/>
      <c r="AG116" s="1067">
        <v>31</v>
      </c>
      <c r="AH116" s="1067">
        <f>AG116*('Ввод исходных данных'!$D$83-AE116)</f>
        <v>998.2</v>
      </c>
      <c r="AI116" s="1068">
        <v>-16.2</v>
      </c>
      <c r="AJ116" s="1068"/>
      <c r="AK116" s="1068">
        <v>31</v>
      </c>
      <c r="AL116" s="1068">
        <f>AK116*('Ввод исходных данных'!$D$83-AI116)</f>
        <v>1060.2</v>
      </c>
      <c r="AM116" s="1069">
        <v>-13.6</v>
      </c>
      <c r="AN116" s="1069"/>
      <c r="AO116" s="1069">
        <v>28</v>
      </c>
      <c r="AP116" s="1069">
        <f>AO116*('Ввод исходных данных'!$D$83-AM116)</f>
        <v>884.80000000000007</v>
      </c>
      <c r="AQ116" s="1064">
        <v>-8.6999999999999993</v>
      </c>
      <c r="AR116" s="1064"/>
      <c r="AS116" s="1064">
        <f t="shared" si="19"/>
        <v>31</v>
      </c>
      <c r="AT116" s="1064">
        <f>AS116*('Ввод исходных данных'!$D$83-AQ116)</f>
        <v>827.69999999999993</v>
      </c>
      <c r="AU116" s="1070">
        <v>-2.1</v>
      </c>
      <c r="AV116" s="1070"/>
      <c r="AW116" s="1070">
        <f t="shared" si="20"/>
        <v>30</v>
      </c>
      <c r="AX116" s="1070">
        <f>AW116*('Ввод исходных данных'!$D$83-AU116)</f>
        <v>603</v>
      </c>
      <c r="AY116" s="1071">
        <v>4.8</v>
      </c>
      <c r="AZ116" s="1071"/>
      <c r="BA116" s="1071">
        <f t="shared" si="21"/>
        <v>19.5</v>
      </c>
      <c r="BB116" s="1071">
        <f>BA116*('Ввод исходных данных'!$D$83-AY116)</f>
        <v>257.39999999999998</v>
      </c>
      <c r="BC116" s="1072">
        <v>11.8</v>
      </c>
      <c r="BD116" s="1072"/>
      <c r="BE116" s="1072">
        <f t="shared" si="13"/>
        <v>0</v>
      </c>
      <c r="BF116" s="1073">
        <f>BE116*('Ввод исходных данных'!$D$83-BC116)</f>
        <v>0</v>
      </c>
    </row>
    <row r="117" spans="2:58" ht="15.75" customHeight="1" x14ac:dyDescent="0.25">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6476.8</v>
      </c>
      <c r="J117" s="1059" t="str">
        <f t="shared" si="12"/>
        <v>6000-7000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217.8</v>
      </c>
      <c r="W117" s="1065">
        <v>0.4</v>
      </c>
      <c r="X117" s="1065"/>
      <c r="Y117" s="1065">
        <f t="shared" si="17"/>
        <v>31</v>
      </c>
      <c r="Z117" s="1065">
        <f>Y117*('Ввод исходных данных'!$D$83-W117)</f>
        <v>545.6</v>
      </c>
      <c r="AA117" s="1066">
        <v>-9.8000000000000007</v>
      </c>
      <c r="AB117" s="1066"/>
      <c r="AC117" s="1066">
        <f t="shared" si="18"/>
        <v>30</v>
      </c>
      <c r="AD117" s="1066">
        <f>AC117*('Ввод исходных данных'!$D$83-AA117)</f>
        <v>834</v>
      </c>
      <c r="AE117" s="1067">
        <v>-16.7</v>
      </c>
      <c r="AF117" s="1067"/>
      <c r="AG117" s="1067">
        <v>31</v>
      </c>
      <c r="AH117" s="1067">
        <f>AG117*('Ввод исходных данных'!$D$83-AE117)</f>
        <v>1075.7</v>
      </c>
      <c r="AI117" s="1068">
        <v>-17.899999999999999</v>
      </c>
      <c r="AJ117" s="1068"/>
      <c r="AK117" s="1068">
        <v>31</v>
      </c>
      <c r="AL117" s="1068">
        <f>AK117*('Ввод исходных данных'!$D$83-AI117)</f>
        <v>1112.8999999999999</v>
      </c>
      <c r="AM117" s="1069">
        <v>-15.1</v>
      </c>
      <c r="AN117" s="1069"/>
      <c r="AO117" s="1069">
        <v>28</v>
      </c>
      <c r="AP117" s="1069">
        <f>AO117*('Ввод исходных данных'!$D$83-AM117)</f>
        <v>926.80000000000007</v>
      </c>
      <c r="AQ117" s="1064">
        <v>-10.199999999999999</v>
      </c>
      <c r="AR117" s="1064"/>
      <c r="AS117" s="1064">
        <f t="shared" si="19"/>
        <v>31</v>
      </c>
      <c r="AT117" s="1064">
        <f>AS117*('Ввод исходных данных'!$D$83-AQ117)</f>
        <v>874.19999999999993</v>
      </c>
      <c r="AU117" s="1070">
        <v>-2.1</v>
      </c>
      <c r="AV117" s="1070"/>
      <c r="AW117" s="1070">
        <f t="shared" si="20"/>
        <v>30</v>
      </c>
      <c r="AX117" s="1070">
        <f>AW117*('Ввод исходных данных'!$D$83-AU117)</f>
        <v>603</v>
      </c>
      <c r="AY117" s="1071">
        <v>5.0999999999999996</v>
      </c>
      <c r="AZ117" s="1071"/>
      <c r="BA117" s="1071">
        <f t="shared" si="21"/>
        <v>22</v>
      </c>
      <c r="BB117" s="1071">
        <f>BA117*('Ввод исходных данных'!$D$83-AY117)</f>
        <v>283.8</v>
      </c>
      <c r="BC117" s="1072">
        <v>11.5</v>
      </c>
      <c r="BD117" s="1072"/>
      <c r="BE117" s="1072">
        <f t="shared" si="13"/>
        <v>0</v>
      </c>
      <c r="BF117" s="1073">
        <f>BE117*('Ввод исходных данных'!$D$83-BC117)</f>
        <v>0</v>
      </c>
    </row>
    <row r="118" spans="2:58" ht="15.75" customHeight="1" x14ac:dyDescent="0.25">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6777</v>
      </c>
      <c r="J118" s="1059" t="str">
        <f t="shared" si="12"/>
        <v>6000-7000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292.89999999999998</v>
      </c>
      <c r="W118" s="1065">
        <v>-0.3</v>
      </c>
      <c r="X118" s="1065"/>
      <c r="Y118" s="1065">
        <f t="shared" si="17"/>
        <v>31</v>
      </c>
      <c r="Z118" s="1065">
        <f>Y118*('Ввод исходных данных'!$D$83-W118)</f>
        <v>567.30000000000007</v>
      </c>
      <c r="AA118" s="1066">
        <v>-8.8000000000000007</v>
      </c>
      <c r="AB118" s="1066"/>
      <c r="AC118" s="1066">
        <f t="shared" si="18"/>
        <v>30</v>
      </c>
      <c r="AD118" s="1066">
        <f>AC118*('Ввод исходных данных'!$D$83-AA118)</f>
        <v>804</v>
      </c>
      <c r="AE118" s="1067">
        <v>-13.8</v>
      </c>
      <c r="AF118" s="1067"/>
      <c r="AG118" s="1067">
        <v>31</v>
      </c>
      <c r="AH118" s="1067">
        <f>AG118*('Ввод исходных данных'!$D$83-AE118)</f>
        <v>985.80000000000007</v>
      </c>
      <c r="AI118" s="1068">
        <v>-14.3</v>
      </c>
      <c r="AJ118" s="1068"/>
      <c r="AK118" s="1068">
        <v>31</v>
      </c>
      <c r="AL118" s="1068">
        <f>AK118*('Ввод исходных данных'!$D$83-AI118)</f>
        <v>1001.3</v>
      </c>
      <c r="AM118" s="1069">
        <v>-14.1</v>
      </c>
      <c r="AN118" s="1069"/>
      <c r="AO118" s="1069">
        <v>28</v>
      </c>
      <c r="AP118" s="1069">
        <f>AO118*('Ввод исходных данных'!$D$83-AM118)</f>
        <v>898.80000000000007</v>
      </c>
      <c r="AQ118" s="1064">
        <v>-11.4</v>
      </c>
      <c r="AR118" s="1064"/>
      <c r="AS118" s="1064">
        <f t="shared" si="19"/>
        <v>31</v>
      </c>
      <c r="AT118" s="1064">
        <f>AS118*('Ввод исходных данных'!$D$83-AQ118)</f>
        <v>911.4</v>
      </c>
      <c r="AU118" s="1070">
        <v>-6.4</v>
      </c>
      <c r="AV118" s="1070"/>
      <c r="AW118" s="1070">
        <f t="shared" si="20"/>
        <v>30</v>
      </c>
      <c r="AX118" s="1070">
        <f>AW118*('Ввод исходных данных'!$D$83-AU118)</f>
        <v>732</v>
      </c>
      <c r="AY118" s="1071">
        <v>1.8</v>
      </c>
      <c r="AZ118" s="1071"/>
      <c r="BA118" s="1071">
        <f t="shared" si="21"/>
        <v>29</v>
      </c>
      <c r="BB118" s="1071">
        <f>BA118*('Ввод исходных данных'!$D$83-AY118)</f>
        <v>469.79999999999995</v>
      </c>
      <c r="BC118" s="1072">
        <v>8.5</v>
      </c>
      <c r="BD118" s="1072"/>
      <c r="BE118" s="1072">
        <f t="shared" si="13"/>
        <v>0</v>
      </c>
      <c r="BF118" s="1073">
        <f>BE118*('Ввод исходных данных'!$D$83-BC118)</f>
        <v>0</v>
      </c>
    </row>
    <row r="119" spans="2:58" ht="15.75" customHeight="1" x14ac:dyDescent="0.25">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5656</v>
      </c>
      <c r="J119" s="1059" t="str">
        <f t="shared" si="12"/>
        <v>5000-6000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22.050000000000004</v>
      </c>
      <c r="S119" s="1064">
        <v>8.6</v>
      </c>
      <c r="T119" s="1064"/>
      <c r="U119" s="1064">
        <f t="shared" si="16"/>
        <v>30</v>
      </c>
      <c r="V119" s="1064">
        <f>U119*('Ввод исходных данных'!$D$83-S119)</f>
        <v>282</v>
      </c>
      <c r="W119" s="1065">
        <v>2.8</v>
      </c>
      <c r="X119" s="1065"/>
      <c r="Y119" s="1065">
        <f t="shared" si="17"/>
        <v>31</v>
      </c>
      <c r="Z119" s="1065">
        <f>Y119*('Ввод исходных данных'!$D$83-W119)</f>
        <v>471.2</v>
      </c>
      <c r="AA119" s="1066">
        <v>-3.3</v>
      </c>
      <c r="AB119" s="1066"/>
      <c r="AC119" s="1066">
        <f t="shared" si="18"/>
        <v>30</v>
      </c>
      <c r="AD119" s="1066">
        <f>AC119*('Ввод исходных данных'!$D$83-AA119)</f>
        <v>639</v>
      </c>
      <c r="AE119" s="1067">
        <v>-7.4</v>
      </c>
      <c r="AF119" s="1067"/>
      <c r="AG119" s="1067">
        <v>31</v>
      </c>
      <c r="AH119" s="1067">
        <f>AG119*('Ввод исходных данных'!$D$83-AE119)</f>
        <v>787.4</v>
      </c>
      <c r="AI119" s="1068">
        <v>-8.5</v>
      </c>
      <c r="AJ119" s="1068"/>
      <c r="AK119" s="1068">
        <v>31</v>
      </c>
      <c r="AL119" s="1068">
        <f>AK119*('Ввод исходных данных'!$D$83-AI119)</f>
        <v>821.5</v>
      </c>
      <c r="AM119" s="1069">
        <v>-8.1999999999999993</v>
      </c>
      <c r="AN119" s="1069"/>
      <c r="AO119" s="1069">
        <v>28</v>
      </c>
      <c r="AP119" s="1069">
        <f>AO119*('Ввод исходных данных'!$D$83-AM119)</f>
        <v>733.6</v>
      </c>
      <c r="AQ119" s="1064">
        <v>-6.2</v>
      </c>
      <c r="AR119" s="1064"/>
      <c r="AS119" s="1064">
        <f t="shared" si="19"/>
        <v>31</v>
      </c>
      <c r="AT119" s="1064">
        <f>AS119*('Ввод исходных данных'!$D$83-AQ119)</f>
        <v>750.19999999999993</v>
      </c>
      <c r="AU119" s="1070">
        <v>-1.6</v>
      </c>
      <c r="AV119" s="1070"/>
      <c r="AW119" s="1070">
        <f t="shared" si="20"/>
        <v>30</v>
      </c>
      <c r="AX119" s="1070">
        <f>AW119*('Ввод исходных данных'!$D$83-AU119)</f>
        <v>588</v>
      </c>
      <c r="AY119" s="1071">
        <v>2.6</v>
      </c>
      <c r="AZ119" s="1071"/>
      <c r="BA119" s="1071">
        <f t="shared" si="21"/>
        <v>31</v>
      </c>
      <c r="BB119" s="1071">
        <f>BA119*('Ввод исходных данных'!$D$83-AY119)</f>
        <v>477.40000000000003</v>
      </c>
      <c r="BC119" s="1072">
        <v>6.6</v>
      </c>
      <c r="BD119" s="1072"/>
      <c r="BE119" s="1072">
        <f t="shared" si="13"/>
        <v>3.5</v>
      </c>
      <c r="BF119" s="1073">
        <f>BE119*('Ввод исходных данных'!$D$83-BC119)</f>
        <v>39.9</v>
      </c>
    </row>
    <row r="120" spans="2:58" ht="15.75" customHeight="1" x14ac:dyDescent="0.25">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5405.4</v>
      </c>
      <c r="J120" s="1059" t="str">
        <f t="shared" si="12"/>
        <v>5000-6000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102</v>
      </c>
      <c r="S120" s="1064">
        <v>8.6999999999999993</v>
      </c>
      <c r="T120" s="1064"/>
      <c r="U120" s="1064">
        <f t="shared" si="16"/>
        <v>30</v>
      </c>
      <c r="V120" s="1064">
        <f>U120*('Ввод исходных данных'!$D$83-S120)</f>
        <v>279</v>
      </c>
      <c r="W120" s="1065">
        <v>5.4</v>
      </c>
      <c r="X120" s="1065"/>
      <c r="Y120" s="1065">
        <f t="shared" si="17"/>
        <v>31</v>
      </c>
      <c r="Z120" s="1065">
        <f>Y120*('Ввод исходных данных'!$D$83-W120)</f>
        <v>390.59999999999997</v>
      </c>
      <c r="AA120" s="1066">
        <v>0.4</v>
      </c>
      <c r="AB120" s="1066"/>
      <c r="AC120" s="1066">
        <f t="shared" si="18"/>
        <v>30</v>
      </c>
      <c r="AD120" s="1066">
        <f>AC120*('Ввод исходных данных'!$D$83-AA120)</f>
        <v>528</v>
      </c>
      <c r="AE120" s="1067">
        <v>-2.8</v>
      </c>
      <c r="AF120" s="1067"/>
      <c r="AG120" s="1067">
        <v>31</v>
      </c>
      <c r="AH120" s="1067">
        <f>AG120*('Ввод исходных данных'!$D$83-AE120)</f>
        <v>644.80000000000007</v>
      </c>
      <c r="AI120" s="1068">
        <v>-4.7</v>
      </c>
      <c r="AJ120" s="1068"/>
      <c r="AK120" s="1068">
        <v>31</v>
      </c>
      <c r="AL120" s="1068">
        <f>AK120*('Ввод исходных данных'!$D$83-AI120)</f>
        <v>703.69999999999993</v>
      </c>
      <c r="AM120" s="1069">
        <v>-5.6</v>
      </c>
      <c r="AN120" s="1069"/>
      <c r="AO120" s="1069">
        <v>28</v>
      </c>
      <c r="AP120" s="1069">
        <f>AO120*('Ввод исходных данных'!$D$83-AM120)</f>
        <v>660.80000000000007</v>
      </c>
      <c r="AQ120" s="1064">
        <v>-4</v>
      </c>
      <c r="AR120" s="1064"/>
      <c r="AS120" s="1064">
        <f t="shared" si="19"/>
        <v>31</v>
      </c>
      <c r="AT120" s="1064">
        <f>AS120*('Ввод исходных данных'!$D$83-AQ120)</f>
        <v>682</v>
      </c>
      <c r="AU120" s="1070">
        <v>-1.3</v>
      </c>
      <c r="AV120" s="1070"/>
      <c r="AW120" s="1070">
        <f t="shared" si="20"/>
        <v>30</v>
      </c>
      <c r="AX120" s="1070">
        <f>AW120*('Ввод исходных данных'!$D$83-AU120)</f>
        <v>579</v>
      </c>
      <c r="AY120" s="1071">
        <v>1.2</v>
      </c>
      <c r="AZ120" s="1071"/>
      <c r="BA120" s="1071">
        <f t="shared" si="21"/>
        <v>31</v>
      </c>
      <c r="BB120" s="1071">
        <f>BA120*('Ввод исходных данных'!$D$83-AY120)</f>
        <v>520.80000000000007</v>
      </c>
      <c r="BC120" s="1072">
        <v>4.4000000000000004</v>
      </c>
      <c r="BD120" s="1072"/>
      <c r="BE120" s="1072">
        <f t="shared" si="13"/>
        <v>12</v>
      </c>
      <c r="BF120" s="1073">
        <f>BE120*('Ввод исходных данных'!$D$83-BC120)</f>
        <v>163.19999999999999</v>
      </c>
    </row>
    <row r="121" spans="2:58" ht="15.75" customHeight="1" x14ac:dyDescent="0.25">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6732.8</v>
      </c>
      <c r="J121" s="1059" t="str">
        <f t="shared" si="12"/>
        <v>6000-7000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220</v>
      </c>
      <c r="W121" s="1065">
        <v>0.3</v>
      </c>
      <c r="X121" s="1065"/>
      <c r="Y121" s="1065">
        <f t="shared" si="17"/>
        <v>31</v>
      </c>
      <c r="Z121" s="1065">
        <f>Y121*('Ввод исходных данных'!$D$83-W121)</f>
        <v>548.69999999999993</v>
      </c>
      <c r="AA121" s="1066">
        <v>-10.9</v>
      </c>
      <c r="AB121" s="1066"/>
      <c r="AC121" s="1066">
        <f t="shared" si="18"/>
        <v>30</v>
      </c>
      <c r="AD121" s="1066">
        <f>AC121*('Ввод исходных данных'!$D$83-AA121)</f>
        <v>867</v>
      </c>
      <c r="AE121" s="1067">
        <v>-17.600000000000001</v>
      </c>
      <c r="AF121" s="1067"/>
      <c r="AG121" s="1067">
        <v>31</v>
      </c>
      <c r="AH121" s="1067">
        <f>AG121*('Ввод исходных данных'!$D$83-AE121)</f>
        <v>1103.6000000000001</v>
      </c>
      <c r="AI121" s="1068">
        <v>-19.899999999999999</v>
      </c>
      <c r="AJ121" s="1068"/>
      <c r="AK121" s="1068">
        <v>31</v>
      </c>
      <c r="AL121" s="1068">
        <f>AK121*('Ввод исходных данных'!$D$83-AI121)</f>
        <v>1174.8999999999999</v>
      </c>
      <c r="AM121" s="1069">
        <v>-17</v>
      </c>
      <c r="AN121" s="1069"/>
      <c r="AO121" s="1069">
        <v>28</v>
      </c>
      <c r="AP121" s="1069">
        <f>AO121*('Ввод исходных данных'!$D$83-AM121)</f>
        <v>980</v>
      </c>
      <c r="AQ121" s="1064">
        <v>-11.9</v>
      </c>
      <c r="AR121" s="1064"/>
      <c r="AS121" s="1064">
        <f t="shared" si="19"/>
        <v>31</v>
      </c>
      <c r="AT121" s="1064">
        <f>AS121*('Ввод исходных данных'!$D$83-AQ121)</f>
        <v>926.9</v>
      </c>
      <c r="AU121" s="1070">
        <v>-2.5</v>
      </c>
      <c r="AV121" s="1070"/>
      <c r="AW121" s="1070">
        <f t="shared" si="20"/>
        <v>30</v>
      </c>
      <c r="AX121" s="1070">
        <f>AW121*('Ввод исходных данных'!$D$83-AU121)</f>
        <v>615</v>
      </c>
      <c r="AY121" s="1071">
        <v>5.2</v>
      </c>
      <c r="AZ121" s="1071"/>
      <c r="BA121" s="1071">
        <f t="shared" si="21"/>
        <v>22</v>
      </c>
      <c r="BB121" s="1071">
        <f>BA121*('Ввод исходных данных'!$D$83-AY121)</f>
        <v>281.60000000000002</v>
      </c>
      <c r="BC121" s="1072">
        <v>11.6</v>
      </c>
      <c r="BD121" s="1072"/>
      <c r="BE121" s="1072">
        <f t="shared" si="13"/>
        <v>0</v>
      </c>
      <c r="BF121" s="1073">
        <f>BE121*('Ввод исходных данных'!$D$83-BC121)</f>
        <v>0</v>
      </c>
    </row>
    <row r="122" spans="2:58" ht="15.75" customHeight="1" x14ac:dyDescent="0.25">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6985</v>
      </c>
      <c r="J122" s="1059" t="str">
        <f t="shared" si="12"/>
        <v>6000-7000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6.1</v>
      </c>
      <c r="S122" s="1064">
        <v>7.2</v>
      </c>
      <c r="T122" s="1064"/>
      <c r="U122" s="1064">
        <f t="shared" si="16"/>
        <v>30</v>
      </c>
      <c r="V122" s="1064">
        <f>U122*('Ввод исходных данных'!$D$83-S122)</f>
        <v>324</v>
      </c>
      <c r="W122" s="1065">
        <v>1.1000000000000001</v>
      </c>
      <c r="X122" s="1065"/>
      <c r="Y122" s="1065">
        <f t="shared" si="17"/>
        <v>31</v>
      </c>
      <c r="Z122" s="1065">
        <f>Y122*('Ввод исходных данных'!$D$83-W122)</f>
        <v>523.9</v>
      </c>
      <c r="AA122" s="1066">
        <v>-8.6</v>
      </c>
      <c r="AB122" s="1066"/>
      <c r="AC122" s="1066">
        <f t="shared" si="18"/>
        <v>30</v>
      </c>
      <c r="AD122" s="1066">
        <f>AC122*('Ввод исходных данных'!$D$83-AA122)</f>
        <v>798</v>
      </c>
      <c r="AE122" s="1067">
        <v>-16.7</v>
      </c>
      <c r="AF122" s="1067"/>
      <c r="AG122" s="1067">
        <v>31</v>
      </c>
      <c r="AH122" s="1067">
        <f>AG122*('Ввод исходных данных'!$D$83-AE122)</f>
        <v>1075.7</v>
      </c>
      <c r="AI122" s="1068">
        <v>-18.7</v>
      </c>
      <c r="AJ122" s="1068"/>
      <c r="AK122" s="1068">
        <v>31</v>
      </c>
      <c r="AL122" s="1068">
        <f>AK122*('Ввод исходных данных'!$D$83-AI122)</f>
        <v>1137.7</v>
      </c>
      <c r="AM122" s="1069">
        <v>-16.2</v>
      </c>
      <c r="AN122" s="1069"/>
      <c r="AO122" s="1069">
        <v>28</v>
      </c>
      <c r="AP122" s="1069">
        <f>AO122*('Ввод исходных данных'!$D$83-AM122)</f>
        <v>957.60000000000014</v>
      </c>
      <c r="AQ122" s="1064">
        <v>-11</v>
      </c>
      <c r="AR122" s="1064"/>
      <c r="AS122" s="1064">
        <f t="shared" si="19"/>
        <v>31</v>
      </c>
      <c r="AT122" s="1064">
        <f>AS122*('Ввод исходных данных'!$D$83-AQ122)</f>
        <v>899</v>
      </c>
      <c r="AU122" s="1070">
        <v>-3.5</v>
      </c>
      <c r="AV122" s="1070"/>
      <c r="AW122" s="1070">
        <f t="shared" si="20"/>
        <v>30</v>
      </c>
      <c r="AX122" s="1070">
        <f>AW122*('Ввод исходных данных'!$D$83-AU122)</f>
        <v>645</v>
      </c>
      <c r="AY122" s="1071">
        <v>2.2999999999999998</v>
      </c>
      <c r="AZ122" s="1071"/>
      <c r="BA122" s="1071">
        <f t="shared" si="21"/>
        <v>31</v>
      </c>
      <c r="BB122" s="1071">
        <f>BA122*('Ввод исходных данных'!$D$83-AY122)</f>
        <v>486.7</v>
      </c>
      <c r="BC122" s="1072">
        <v>8.6</v>
      </c>
      <c r="BD122" s="1072"/>
      <c r="BE122" s="1072">
        <f t="shared" si="13"/>
        <v>1</v>
      </c>
      <c r="BF122" s="1073">
        <f>BE122*('Ввод исходных данных'!$D$83-BC122)</f>
        <v>9.4</v>
      </c>
    </row>
    <row r="123" spans="2:58" ht="15.75" customHeight="1" x14ac:dyDescent="0.25">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4980.8</v>
      </c>
      <c r="J123" s="1059" t="str">
        <f t="shared" si="12"/>
        <v>4000-5000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36</v>
      </c>
      <c r="S123" s="1064">
        <v>9.4</v>
      </c>
      <c r="T123" s="1064"/>
      <c r="U123" s="1064">
        <f t="shared" si="16"/>
        <v>30</v>
      </c>
      <c r="V123" s="1064">
        <f>U123*('Ввод исходных данных'!$D$83-S123)</f>
        <v>258</v>
      </c>
      <c r="W123" s="1065">
        <v>5.3</v>
      </c>
      <c r="X123" s="1065"/>
      <c r="Y123" s="1065">
        <f t="shared" si="17"/>
        <v>31</v>
      </c>
      <c r="Z123" s="1065">
        <f>Y123*('Ввод исходных данных'!$D$83-W123)</f>
        <v>393.7</v>
      </c>
      <c r="AA123" s="1066">
        <v>0.7</v>
      </c>
      <c r="AB123" s="1066"/>
      <c r="AC123" s="1066">
        <f t="shared" si="18"/>
        <v>30</v>
      </c>
      <c r="AD123" s="1066">
        <f>AC123*('Ввод исходных данных'!$D$83-AA123)</f>
        <v>519</v>
      </c>
      <c r="AE123" s="1067">
        <v>-2.2000000000000002</v>
      </c>
      <c r="AF123" s="1067"/>
      <c r="AG123" s="1067">
        <v>31</v>
      </c>
      <c r="AH123" s="1067">
        <f>AG123*('Ввод исходных данных'!$D$83-AE123)</f>
        <v>626.19999999999993</v>
      </c>
      <c r="AI123" s="1068">
        <v>-3.3</v>
      </c>
      <c r="AJ123" s="1068"/>
      <c r="AK123" s="1068">
        <v>31</v>
      </c>
      <c r="AL123" s="1068">
        <f>AK123*('Ввод исходных данных'!$D$83-AI123)</f>
        <v>660.30000000000007</v>
      </c>
      <c r="AM123" s="1069">
        <v>-3.5</v>
      </c>
      <c r="AN123" s="1069"/>
      <c r="AO123" s="1069">
        <v>28</v>
      </c>
      <c r="AP123" s="1069">
        <f>AO123*('Ввод исходных данных'!$D$83-AM123)</f>
        <v>602</v>
      </c>
      <c r="AQ123" s="1064">
        <v>-2.5</v>
      </c>
      <c r="AR123" s="1064"/>
      <c r="AS123" s="1064">
        <f t="shared" si="19"/>
        <v>31</v>
      </c>
      <c r="AT123" s="1064">
        <f>AS123*('Ввод исходных данных'!$D$83-AQ123)</f>
        <v>635.5</v>
      </c>
      <c r="AU123" s="1070">
        <v>-0.5</v>
      </c>
      <c r="AV123" s="1070"/>
      <c r="AW123" s="1070">
        <f t="shared" si="20"/>
        <v>30</v>
      </c>
      <c r="AX123" s="1070">
        <f>AW123*('Ввод исходных данных'!$D$83-AU123)</f>
        <v>555</v>
      </c>
      <c r="AY123" s="1071">
        <v>2.2999999999999998</v>
      </c>
      <c r="AZ123" s="1071"/>
      <c r="BA123" s="1071">
        <f t="shared" si="21"/>
        <v>31</v>
      </c>
      <c r="BB123" s="1071">
        <f>BA123*('Ввод исходных данных'!$D$83-AY123)</f>
        <v>486.7</v>
      </c>
      <c r="BC123" s="1072">
        <v>5.6</v>
      </c>
      <c r="BD123" s="1072"/>
      <c r="BE123" s="1072">
        <f t="shared" si="13"/>
        <v>5</v>
      </c>
      <c r="BF123" s="1073">
        <f>BE123*('Ввод исходных данных'!$D$83-BC123)</f>
        <v>62</v>
      </c>
    </row>
    <row r="124" spans="2:58" ht="15.75" customHeight="1" x14ac:dyDescent="0.25">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6041.5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26.4</v>
      </c>
      <c r="S124" s="1064">
        <v>9.3000000000000007</v>
      </c>
      <c r="T124" s="1064"/>
      <c r="U124" s="1064">
        <f t="shared" si="16"/>
        <v>30</v>
      </c>
      <c r="V124" s="1064">
        <f>U124*('Ввод исходных данных'!$D$83-S124)</f>
        <v>261</v>
      </c>
      <c r="W124" s="1065">
        <v>4.0999999999999996</v>
      </c>
      <c r="X124" s="1065"/>
      <c r="Y124" s="1065">
        <f t="shared" si="17"/>
        <v>31</v>
      </c>
      <c r="Z124" s="1065">
        <f>Y124*('Ввод исходных данных'!$D$83-W124)</f>
        <v>430.90000000000003</v>
      </c>
      <c r="AA124" s="1066">
        <v>-3</v>
      </c>
      <c r="AB124" s="1066"/>
      <c r="AC124" s="1066">
        <f t="shared" si="18"/>
        <v>30</v>
      </c>
      <c r="AD124" s="1066">
        <f>AC124*('Ввод исходных данных'!$D$83-AA124)</f>
        <v>630</v>
      </c>
      <c r="AE124" s="1067">
        <v>-9</v>
      </c>
      <c r="AF124" s="1067"/>
      <c r="AG124" s="1067">
        <v>31</v>
      </c>
      <c r="AH124" s="1067">
        <f>AG124*('Ввод исходных данных'!$D$83-AE124)</f>
        <v>837</v>
      </c>
      <c r="AI124" s="1068">
        <v>-12.1</v>
      </c>
      <c r="AJ124" s="1068"/>
      <c r="AK124" s="1068">
        <v>31</v>
      </c>
      <c r="AL124" s="1068">
        <f>AK124*('Ввод исходных данных'!$D$83-AI124)</f>
        <v>933.1</v>
      </c>
      <c r="AM124" s="1069">
        <v>-12.6</v>
      </c>
      <c r="AN124" s="1069"/>
      <c r="AO124" s="1069">
        <v>28</v>
      </c>
      <c r="AP124" s="1069">
        <f>AO124*('Ввод исходных данных'!$D$83-AM124)</f>
        <v>856.80000000000007</v>
      </c>
      <c r="AQ124" s="1064">
        <v>-8.6999999999999993</v>
      </c>
      <c r="AR124" s="1064"/>
      <c r="AS124" s="1064">
        <f t="shared" si="19"/>
        <v>31</v>
      </c>
      <c r="AT124" s="1064">
        <f>AS124*('Ввод исходных данных'!$D$83-AQ124)</f>
        <v>827.69999999999993</v>
      </c>
      <c r="AU124" s="1070">
        <v>-2.5</v>
      </c>
      <c r="AV124" s="1070"/>
      <c r="AW124" s="1070">
        <f t="shared" si="20"/>
        <v>30</v>
      </c>
      <c r="AX124" s="1070">
        <f>AW124*('Ввод исходных данных'!$D$83-AU124)</f>
        <v>615</v>
      </c>
      <c r="AY124" s="1071">
        <v>2.1</v>
      </c>
      <c r="AZ124" s="1071"/>
      <c r="BA124" s="1071">
        <f t="shared" si="21"/>
        <v>31</v>
      </c>
      <c r="BB124" s="1071">
        <f>BA124*('Ввод исходных данных'!$D$83-AY124)</f>
        <v>492.90000000000003</v>
      </c>
      <c r="BC124" s="1072">
        <v>6.1</v>
      </c>
      <c r="BD124" s="1072"/>
      <c r="BE124" s="1072">
        <f t="shared" si="13"/>
        <v>4</v>
      </c>
      <c r="BF124" s="1073">
        <f>BE124*('Ввод исходных данных'!$D$83-BC124)</f>
        <v>47.6</v>
      </c>
    </row>
    <row r="125" spans="2:58" ht="15.75" customHeight="1" x14ac:dyDescent="0.25">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6691.2000000000007</v>
      </c>
      <c r="J125" s="1059" t="str">
        <f t="shared" si="12"/>
        <v>6000-7000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294</v>
      </c>
      <c r="W125" s="1065">
        <v>1.2</v>
      </c>
      <c r="X125" s="1065"/>
      <c r="Y125" s="1065">
        <f t="shared" si="17"/>
        <v>31</v>
      </c>
      <c r="Z125" s="1065">
        <f>Y125*('Ввод исходных данных'!$D$83-W125)</f>
        <v>520.80000000000007</v>
      </c>
      <c r="AA125" s="1066">
        <v>-7</v>
      </c>
      <c r="AB125" s="1066"/>
      <c r="AC125" s="1066">
        <f t="shared" si="18"/>
        <v>30</v>
      </c>
      <c r="AD125" s="1066">
        <f>AC125*('Ввод исходных данных'!$D$83-AA125)</f>
        <v>750</v>
      </c>
      <c r="AE125" s="1067">
        <v>-12.9</v>
      </c>
      <c r="AF125" s="1067"/>
      <c r="AG125" s="1067">
        <v>31</v>
      </c>
      <c r="AH125" s="1067">
        <f>AG125*('Ввод исходных данных'!$D$83-AE125)</f>
        <v>957.9</v>
      </c>
      <c r="AI125" s="1068">
        <v>-14.5</v>
      </c>
      <c r="AJ125" s="1068"/>
      <c r="AK125" s="1068">
        <v>31</v>
      </c>
      <c r="AL125" s="1068">
        <f>AK125*('Ввод исходных данных'!$D$83-AI125)</f>
        <v>1007.5</v>
      </c>
      <c r="AM125" s="1069">
        <v>-14.1</v>
      </c>
      <c r="AN125" s="1069"/>
      <c r="AO125" s="1069">
        <v>28</v>
      </c>
      <c r="AP125" s="1069">
        <f>AO125*('Ввод исходных данных'!$D$83-AM125)</f>
        <v>898.80000000000007</v>
      </c>
      <c r="AQ125" s="1064">
        <v>-11.4</v>
      </c>
      <c r="AR125" s="1064"/>
      <c r="AS125" s="1064">
        <f t="shared" si="19"/>
        <v>31</v>
      </c>
      <c r="AT125" s="1064">
        <f>AS125*('Ввод исходных данных'!$D$83-AQ125)</f>
        <v>911.4</v>
      </c>
      <c r="AU125" s="1070">
        <v>-6.1</v>
      </c>
      <c r="AV125" s="1070"/>
      <c r="AW125" s="1070">
        <f t="shared" si="20"/>
        <v>30</v>
      </c>
      <c r="AX125" s="1070">
        <f>AW125*('Ввод исходных данных'!$D$83-AU125)</f>
        <v>723</v>
      </c>
      <c r="AY125" s="1071">
        <v>1</v>
      </c>
      <c r="AZ125" s="1071"/>
      <c r="BA125" s="1071">
        <f t="shared" si="21"/>
        <v>30</v>
      </c>
      <c r="BB125" s="1071">
        <f>BA125*('Ввод исходных данных'!$D$83-AY125)</f>
        <v>510</v>
      </c>
      <c r="BC125" s="1072">
        <v>7.9</v>
      </c>
      <c r="BD125" s="1072"/>
      <c r="BE125" s="1072">
        <f t="shared" si="13"/>
        <v>0</v>
      </c>
      <c r="BF125" s="1073">
        <f>BE125*('Ввод исходных данных'!$D$83-BC125)</f>
        <v>0</v>
      </c>
    </row>
    <row r="126" spans="2:58" ht="15.75" customHeight="1" x14ac:dyDescent="0.25">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4925</v>
      </c>
      <c r="J126" s="1059" t="str">
        <f t="shared" si="12"/>
        <v>4000-5000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146.29999999999998</v>
      </c>
      <c r="W126" s="1065">
        <v>5.2</v>
      </c>
      <c r="X126" s="1065"/>
      <c r="Y126" s="1065">
        <f t="shared" si="17"/>
        <v>31</v>
      </c>
      <c r="Z126" s="1065">
        <f>Y126*('Ввод исходных данных'!$D$83-W126)</f>
        <v>396.8</v>
      </c>
      <c r="AA126" s="1066">
        <v>-1.1000000000000001</v>
      </c>
      <c r="AB126" s="1066"/>
      <c r="AC126" s="1066">
        <f t="shared" si="18"/>
        <v>30</v>
      </c>
      <c r="AD126" s="1066">
        <f>AC126*('Ввод исходных данных'!$D$83-AA126)</f>
        <v>573</v>
      </c>
      <c r="AE126" s="1067">
        <v>-5.2</v>
      </c>
      <c r="AF126" s="1067"/>
      <c r="AG126" s="1067">
        <v>31</v>
      </c>
      <c r="AH126" s="1067">
        <f>AG126*('Ввод исходных данных'!$D$83-AE126)</f>
        <v>719.19999999999993</v>
      </c>
      <c r="AI126" s="1068">
        <v>-7</v>
      </c>
      <c r="AJ126" s="1068"/>
      <c r="AK126" s="1068">
        <v>31</v>
      </c>
      <c r="AL126" s="1068">
        <f>AK126*('Ввод исходных данных'!$D$83-AI126)</f>
        <v>775</v>
      </c>
      <c r="AM126" s="1069">
        <v>-6.6</v>
      </c>
      <c r="AN126" s="1069"/>
      <c r="AO126" s="1069">
        <v>28</v>
      </c>
      <c r="AP126" s="1069">
        <f>AO126*('Ввод исходных данных'!$D$83-AM126)</f>
        <v>688.80000000000007</v>
      </c>
      <c r="AQ126" s="1064">
        <v>-4</v>
      </c>
      <c r="AR126" s="1064"/>
      <c r="AS126" s="1064">
        <f t="shared" si="19"/>
        <v>31</v>
      </c>
      <c r="AT126" s="1064">
        <f>AS126*('Ввод исходных данных'!$D$83-AQ126)</f>
        <v>682</v>
      </c>
      <c r="AU126" s="1070">
        <v>0.1</v>
      </c>
      <c r="AV126" s="1070"/>
      <c r="AW126" s="1070">
        <f t="shared" si="20"/>
        <v>30</v>
      </c>
      <c r="AX126" s="1070">
        <f>AW126*('Ввод исходных данных'!$D$83-AU126)</f>
        <v>537</v>
      </c>
      <c r="AY126" s="1071">
        <v>4.4000000000000004</v>
      </c>
      <c r="AZ126" s="1071"/>
      <c r="BA126" s="1071">
        <f t="shared" si="21"/>
        <v>19</v>
      </c>
      <c r="BB126" s="1071">
        <f>BA126*('Ввод исходных данных'!$D$83-AY126)</f>
        <v>258.39999999999998</v>
      </c>
      <c r="BC126" s="1072">
        <v>9.1999999999999993</v>
      </c>
      <c r="BD126" s="1072"/>
      <c r="BE126" s="1072">
        <f t="shared" si="13"/>
        <v>0</v>
      </c>
      <c r="BF126" s="1073">
        <f>BE126*('Ввод исходных данных'!$D$83-BC126)</f>
        <v>0</v>
      </c>
    </row>
    <row r="127" spans="2:58" ht="15.75" customHeight="1" x14ac:dyDescent="0.25">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5070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189.60000000000002</v>
      </c>
      <c r="W127" s="1065">
        <v>5.0999999999999996</v>
      </c>
      <c r="X127" s="1065"/>
      <c r="Y127" s="1065">
        <f t="shared" si="17"/>
        <v>31</v>
      </c>
      <c r="Z127" s="1065">
        <f>Y127*('Ввод исходных данных'!$D$83-W127)</f>
        <v>399.90000000000003</v>
      </c>
      <c r="AA127" s="1066">
        <v>-1.3</v>
      </c>
      <c r="AB127" s="1066"/>
      <c r="AC127" s="1066">
        <f t="shared" si="18"/>
        <v>30</v>
      </c>
      <c r="AD127" s="1066">
        <f>AC127*('Ввод исходных данных'!$D$83-AA127)</f>
        <v>579</v>
      </c>
      <c r="AE127" s="1067">
        <v>-5</v>
      </c>
      <c r="AF127" s="1067"/>
      <c r="AG127" s="1067">
        <v>31</v>
      </c>
      <c r="AH127" s="1067">
        <f>AG127*('Ввод исходных данных'!$D$83-AE127)</f>
        <v>713</v>
      </c>
      <c r="AI127" s="1068">
        <v>-6.3</v>
      </c>
      <c r="AJ127" s="1068"/>
      <c r="AK127" s="1068">
        <v>31</v>
      </c>
      <c r="AL127" s="1068">
        <f>AK127*('Ввод исходных данных'!$D$83-AI127)</f>
        <v>753.30000000000007</v>
      </c>
      <c r="AM127" s="1069">
        <v>-5.9</v>
      </c>
      <c r="AN127" s="1069"/>
      <c r="AO127" s="1069">
        <v>28</v>
      </c>
      <c r="AP127" s="1069">
        <f>AO127*('Ввод исходных данных'!$D$83-AM127)</f>
        <v>669.19999999999993</v>
      </c>
      <c r="AQ127" s="1064">
        <v>-4.4000000000000004</v>
      </c>
      <c r="AR127" s="1064"/>
      <c r="AS127" s="1064">
        <f t="shared" si="19"/>
        <v>31</v>
      </c>
      <c r="AT127" s="1064">
        <f>AS127*('Ввод исходных данных'!$D$83-AQ127)</f>
        <v>694.4</v>
      </c>
      <c r="AU127" s="1070">
        <v>-0.8</v>
      </c>
      <c r="AV127" s="1070"/>
      <c r="AW127" s="1070">
        <f t="shared" si="20"/>
        <v>30</v>
      </c>
      <c r="AX127" s="1070">
        <f>AW127*('Ввод исходных данных'!$D$83-AU127)</f>
        <v>564</v>
      </c>
      <c r="AY127" s="1071">
        <v>3.3</v>
      </c>
      <c r="AZ127" s="1071"/>
      <c r="BA127" s="1071">
        <f t="shared" si="21"/>
        <v>24</v>
      </c>
      <c r="BB127" s="1071">
        <f>BA127*('Ввод исходных данных'!$D$83-AY127)</f>
        <v>352.79999999999995</v>
      </c>
      <c r="BC127" s="1072">
        <v>7.9</v>
      </c>
      <c r="BD127" s="1072"/>
      <c r="BE127" s="1072">
        <f t="shared" si="13"/>
        <v>0</v>
      </c>
      <c r="BF127" s="1073">
        <f>BE127*('Ввод исходных данных'!$D$83-BC127)</f>
        <v>0</v>
      </c>
    </row>
    <row r="128" spans="2:58" ht="15.75" customHeight="1" x14ac:dyDescent="0.25">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6190.8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263.2</v>
      </c>
      <c r="W128" s="1065">
        <v>3.2</v>
      </c>
      <c r="X128" s="1065"/>
      <c r="Y128" s="1065">
        <f t="shared" si="17"/>
        <v>31</v>
      </c>
      <c r="Z128" s="1065">
        <f>Y128*('Ввод исходных данных'!$D$83-W128)</f>
        <v>458.8</v>
      </c>
      <c r="AA128" s="1066">
        <v>-4.9000000000000004</v>
      </c>
      <c r="AB128" s="1066"/>
      <c r="AC128" s="1066">
        <f t="shared" si="18"/>
        <v>30</v>
      </c>
      <c r="AD128" s="1066">
        <f>AC128*('Ввод исходных данных'!$D$83-AA128)</f>
        <v>687</v>
      </c>
      <c r="AE128" s="1067">
        <v>-11.1</v>
      </c>
      <c r="AF128" s="1067"/>
      <c r="AG128" s="1067">
        <v>31</v>
      </c>
      <c r="AH128" s="1067">
        <f>AG128*('Ввод исходных данных'!$D$83-AE128)</f>
        <v>902.1</v>
      </c>
      <c r="AI128" s="1068">
        <v>-13.9</v>
      </c>
      <c r="AJ128" s="1068"/>
      <c r="AK128" s="1068">
        <v>31</v>
      </c>
      <c r="AL128" s="1068">
        <f>AK128*('Ввод исходных данных'!$D$83-AI128)</f>
        <v>988.9</v>
      </c>
      <c r="AM128" s="1069">
        <v>-13.3</v>
      </c>
      <c r="AN128" s="1069"/>
      <c r="AO128" s="1069">
        <v>28</v>
      </c>
      <c r="AP128" s="1069">
        <f>AO128*('Ввод исходных данных'!$D$83-AM128)</f>
        <v>876.4</v>
      </c>
      <c r="AQ128" s="1064">
        <v>-9</v>
      </c>
      <c r="AR128" s="1064"/>
      <c r="AS128" s="1064">
        <f t="shared" si="19"/>
        <v>31</v>
      </c>
      <c r="AT128" s="1064">
        <f>AS128*('Ввод исходных данных'!$D$83-AQ128)</f>
        <v>837</v>
      </c>
      <c r="AU128" s="1070">
        <v>-2.7</v>
      </c>
      <c r="AV128" s="1070"/>
      <c r="AW128" s="1070">
        <f t="shared" si="20"/>
        <v>30</v>
      </c>
      <c r="AX128" s="1070">
        <f>AW128*('Ввод исходных данных'!$D$83-AU128)</f>
        <v>621</v>
      </c>
      <c r="AY128" s="1071">
        <v>3</v>
      </c>
      <c r="AZ128" s="1071"/>
      <c r="BA128" s="1071">
        <f t="shared" si="21"/>
        <v>28</v>
      </c>
      <c r="BB128" s="1071">
        <f>BA128*('Ввод исходных данных'!$D$83-AY128)</f>
        <v>420</v>
      </c>
      <c r="BC128" s="1072">
        <v>8.1</v>
      </c>
      <c r="BD128" s="1072"/>
      <c r="BE128" s="1072">
        <f t="shared" si="13"/>
        <v>0</v>
      </c>
      <c r="BF128" s="1073">
        <f>BE128*('Ввод исходных данных'!$D$83-BC128)</f>
        <v>0</v>
      </c>
    </row>
    <row r="129" spans="2:58" ht="15.75" customHeight="1" x14ac:dyDescent="0.25">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6940.7</v>
      </c>
      <c r="J129" s="1059" t="str">
        <f t="shared" si="12"/>
        <v>6000-7000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21.6</v>
      </c>
      <c r="S129" s="1064">
        <v>8.1</v>
      </c>
      <c r="T129" s="1064"/>
      <c r="U129" s="1064">
        <f t="shared" si="16"/>
        <v>30</v>
      </c>
      <c r="V129" s="1064">
        <f>U129*('Ввод исходных данных'!$D$83-S129)</f>
        <v>297</v>
      </c>
      <c r="W129" s="1065">
        <v>0.7</v>
      </c>
      <c r="X129" s="1065"/>
      <c r="Y129" s="1065">
        <f t="shared" si="17"/>
        <v>31</v>
      </c>
      <c r="Z129" s="1065">
        <f>Y129*('Ввод исходных данных'!$D$83-W129)</f>
        <v>536.30000000000007</v>
      </c>
      <c r="AA129" s="1066">
        <v>-7.1</v>
      </c>
      <c r="AB129" s="1066"/>
      <c r="AC129" s="1066">
        <f t="shared" si="18"/>
        <v>30</v>
      </c>
      <c r="AD129" s="1066">
        <f>AC129*('Ввод исходных данных'!$D$83-AA129)</f>
        <v>753</v>
      </c>
      <c r="AE129" s="1067">
        <v>-13.2</v>
      </c>
      <c r="AF129" s="1067"/>
      <c r="AG129" s="1067">
        <v>31</v>
      </c>
      <c r="AH129" s="1067">
        <f>AG129*('Ввод исходных данных'!$D$83-AE129)</f>
        <v>967.19999999999993</v>
      </c>
      <c r="AI129" s="1068">
        <v>-15.8</v>
      </c>
      <c r="AJ129" s="1068"/>
      <c r="AK129" s="1068">
        <v>31</v>
      </c>
      <c r="AL129" s="1068">
        <f>AK129*('Ввод исходных данных'!$D$83-AI129)</f>
        <v>1047.8</v>
      </c>
      <c r="AM129" s="1069">
        <v>-16.3</v>
      </c>
      <c r="AN129" s="1069"/>
      <c r="AO129" s="1069">
        <v>28</v>
      </c>
      <c r="AP129" s="1069">
        <f>AO129*('Ввод исходных данных'!$D$83-AM129)</f>
        <v>960.39999999999986</v>
      </c>
      <c r="AQ129" s="1064">
        <v>-13.5</v>
      </c>
      <c r="AR129" s="1064"/>
      <c r="AS129" s="1064">
        <f t="shared" si="19"/>
        <v>31</v>
      </c>
      <c r="AT129" s="1064">
        <f>AS129*('Ввод исходных данных'!$D$83-AQ129)</f>
        <v>976.5</v>
      </c>
      <c r="AU129" s="1070">
        <v>-6.2</v>
      </c>
      <c r="AV129" s="1070"/>
      <c r="AW129" s="1070">
        <f t="shared" si="20"/>
        <v>30</v>
      </c>
      <c r="AX129" s="1070">
        <f>AW129*('Ввод исходных данных'!$D$83-AU129)</f>
        <v>726</v>
      </c>
      <c r="AY129" s="1071">
        <v>-0.1</v>
      </c>
      <c r="AZ129" s="1071"/>
      <c r="BA129" s="1071">
        <f t="shared" si="21"/>
        <v>31</v>
      </c>
      <c r="BB129" s="1071">
        <f>BA129*('Ввод исходных данных'!$D$83-AY129)</f>
        <v>561.1</v>
      </c>
      <c r="BC129" s="1072">
        <v>6.3</v>
      </c>
      <c r="BD129" s="1072"/>
      <c r="BE129" s="1072">
        <f t="shared" si="13"/>
        <v>4</v>
      </c>
      <c r="BF129" s="1073">
        <f>BE129*('Ввод исходных данных'!$D$83-BC129)</f>
        <v>46.8</v>
      </c>
    </row>
    <row r="130" spans="2:58" ht="15.75" customHeight="1" x14ac:dyDescent="0.25">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7092.8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47.45</v>
      </c>
      <c r="S130" s="1064">
        <v>7.4</v>
      </c>
      <c r="T130" s="1064"/>
      <c r="U130" s="1064">
        <f t="shared" si="16"/>
        <v>30</v>
      </c>
      <c r="V130" s="1064">
        <f>U130*('Ввод исходных данных'!$D$83-S130)</f>
        <v>318</v>
      </c>
      <c r="W130" s="1065">
        <v>1.2</v>
      </c>
      <c r="X130" s="1065"/>
      <c r="Y130" s="1065">
        <f t="shared" si="17"/>
        <v>31</v>
      </c>
      <c r="Z130" s="1065">
        <f>Y130*('Ввод исходных данных'!$D$83-W130)</f>
        <v>520.80000000000007</v>
      </c>
      <c r="AA130" s="1066">
        <v>-7.1</v>
      </c>
      <c r="AB130" s="1066"/>
      <c r="AC130" s="1066">
        <f t="shared" si="18"/>
        <v>30</v>
      </c>
      <c r="AD130" s="1066">
        <f>AC130*('Ввод исходных данных'!$D$83-AA130)</f>
        <v>753</v>
      </c>
      <c r="AE130" s="1067">
        <v>-14.2</v>
      </c>
      <c r="AF130" s="1067"/>
      <c r="AG130" s="1067">
        <v>31</v>
      </c>
      <c r="AH130" s="1067">
        <f>AG130*('Ввод исходных данных'!$D$83-AE130)</f>
        <v>998.2</v>
      </c>
      <c r="AI130" s="1068">
        <v>-17.5</v>
      </c>
      <c r="AJ130" s="1068"/>
      <c r="AK130" s="1068">
        <v>31</v>
      </c>
      <c r="AL130" s="1068">
        <f>AK130*('Ввод исходных данных'!$D$83-AI130)</f>
        <v>1100.5</v>
      </c>
      <c r="AM130" s="1069">
        <v>-16.5</v>
      </c>
      <c r="AN130" s="1069"/>
      <c r="AO130" s="1069">
        <v>28</v>
      </c>
      <c r="AP130" s="1069">
        <f>AO130*('Ввод исходных данных'!$D$83-AM130)</f>
        <v>966</v>
      </c>
      <c r="AQ130" s="1064">
        <v>-12.9</v>
      </c>
      <c r="AR130" s="1064"/>
      <c r="AS130" s="1064">
        <f t="shared" si="19"/>
        <v>31</v>
      </c>
      <c r="AT130" s="1064">
        <f>AS130*('Ввод исходных данных'!$D$83-AQ130)</f>
        <v>957.9</v>
      </c>
      <c r="AU130" s="1070">
        <v>-5.6</v>
      </c>
      <c r="AV130" s="1070"/>
      <c r="AW130" s="1070">
        <f t="shared" si="20"/>
        <v>30</v>
      </c>
      <c r="AX130" s="1070">
        <f>AW130*('Ввод исходных данных'!$D$83-AU130)</f>
        <v>708</v>
      </c>
      <c r="AY130" s="1071">
        <v>1.4</v>
      </c>
      <c r="AZ130" s="1071"/>
      <c r="BA130" s="1071">
        <f t="shared" si="21"/>
        <v>31</v>
      </c>
      <c r="BB130" s="1071">
        <f>BA130*('Ввод исходных данных'!$D$83-AY130)</f>
        <v>514.6</v>
      </c>
      <c r="BC130" s="1072">
        <v>6.7</v>
      </c>
      <c r="BD130" s="1072"/>
      <c r="BE130" s="1072">
        <f t="shared" si="13"/>
        <v>6.5</v>
      </c>
      <c r="BF130" s="1073">
        <f>BE130*('Ввод исходных данных'!$D$83-BC130)</f>
        <v>73.45</v>
      </c>
    </row>
    <row r="131" spans="2:58" ht="15.75" customHeight="1" x14ac:dyDescent="0.25">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6333.5999999999995</v>
      </c>
      <c r="J131" s="1059" t="str">
        <f t="shared" si="12"/>
        <v>6000-7000</v>
      </c>
      <c r="K131" s="1060">
        <v>11.6</v>
      </c>
      <c r="L131" s="1060"/>
      <c r="M131" s="1061">
        <f t="shared" si="14"/>
        <v>0.5</v>
      </c>
      <c r="N131" s="1062">
        <f>M131*('Ввод исходных данных'!$D$83-K131)</f>
        <v>3.2</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291</v>
      </c>
      <c r="W131" s="1065">
        <v>2.6</v>
      </c>
      <c r="X131" s="1065"/>
      <c r="Y131" s="1065">
        <f t="shared" si="17"/>
        <v>31</v>
      </c>
      <c r="Z131" s="1065">
        <f>Y131*('Ввод исходных данных'!$D$83-W131)</f>
        <v>477.40000000000003</v>
      </c>
      <c r="AA131" s="1066">
        <v>-5.0999999999999996</v>
      </c>
      <c r="AB131" s="1066"/>
      <c r="AC131" s="1066">
        <f t="shared" si="18"/>
        <v>30</v>
      </c>
      <c r="AD131" s="1066">
        <f>AC131*('Ввод исходных данных'!$D$83-AA131)</f>
        <v>693</v>
      </c>
      <c r="AE131" s="1067">
        <v>-11.2</v>
      </c>
      <c r="AF131" s="1067"/>
      <c r="AG131" s="1067">
        <v>31</v>
      </c>
      <c r="AH131" s="1067">
        <f>AG131*('Ввод исходных данных'!$D$83-AE131)</f>
        <v>905.19999999999993</v>
      </c>
      <c r="AI131" s="1068">
        <v>-14.1</v>
      </c>
      <c r="AJ131" s="1068"/>
      <c r="AK131" s="1068">
        <v>31</v>
      </c>
      <c r="AL131" s="1068">
        <f>AK131*('Ввод исходных данных'!$D$83-AI131)</f>
        <v>995.1</v>
      </c>
      <c r="AM131" s="1069">
        <v>-13.6</v>
      </c>
      <c r="AN131" s="1069"/>
      <c r="AO131" s="1069">
        <v>28</v>
      </c>
      <c r="AP131" s="1069">
        <f>AO131*('Ввод исходных данных'!$D$83-AM131)</f>
        <v>884.80000000000007</v>
      </c>
      <c r="AQ131" s="1064">
        <v>-9.9</v>
      </c>
      <c r="AR131" s="1064"/>
      <c r="AS131" s="1064">
        <f t="shared" si="19"/>
        <v>31</v>
      </c>
      <c r="AT131" s="1064">
        <f>AS131*('Ввод исходных данных'!$D$83-AQ131)</f>
        <v>864.9</v>
      </c>
      <c r="AU131" s="1070">
        <v>-3.5</v>
      </c>
      <c r="AV131" s="1070"/>
      <c r="AW131" s="1070">
        <f t="shared" si="20"/>
        <v>30</v>
      </c>
      <c r="AX131" s="1070">
        <f>AW131*('Ввод исходных данных'!$D$83-AU131)</f>
        <v>645</v>
      </c>
      <c r="AY131" s="1071">
        <v>2.8</v>
      </c>
      <c r="AZ131" s="1071"/>
      <c r="BA131" s="1071">
        <f t="shared" si="21"/>
        <v>30.5</v>
      </c>
      <c r="BB131" s="1071">
        <f>BA131*('Ввод исходных данных'!$D$83-AY131)</f>
        <v>463.59999999999997</v>
      </c>
      <c r="BC131" s="1072">
        <v>7.9</v>
      </c>
      <c r="BD131" s="1072"/>
      <c r="BE131" s="1072">
        <f t="shared" si="13"/>
        <v>0</v>
      </c>
      <c r="BF131" s="1073">
        <f>BE131*('Ввод исходных данных'!$D$83-BC131)</f>
        <v>0</v>
      </c>
    </row>
    <row r="132" spans="2:58" ht="15.75" customHeight="1" x14ac:dyDescent="0.25">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6094</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11.600000000000001</v>
      </c>
      <c r="S132" s="1064">
        <v>9</v>
      </c>
      <c r="T132" s="1064"/>
      <c r="U132" s="1064">
        <f t="shared" si="16"/>
        <v>30</v>
      </c>
      <c r="V132" s="1064">
        <f>U132*('Ввод исходных данных'!$D$83-S132)</f>
        <v>270</v>
      </c>
      <c r="W132" s="1065">
        <v>2.6</v>
      </c>
      <c r="X132" s="1065"/>
      <c r="Y132" s="1065">
        <f t="shared" si="17"/>
        <v>31</v>
      </c>
      <c r="Z132" s="1065">
        <f>Y132*('Ввод исходных данных'!$D$83-W132)</f>
        <v>477.40000000000003</v>
      </c>
      <c r="AA132" s="1066">
        <v>-4.7</v>
      </c>
      <c r="AB132" s="1066"/>
      <c r="AC132" s="1066">
        <f t="shared" si="18"/>
        <v>30</v>
      </c>
      <c r="AD132" s="1066">
        <f>AC132*('Ввод исходных данных'!$D$83-AA132)</f>
        <v>681</v>
      </c>
      <c r="AE132" s="1067">
        <v>-9.6999999999999993</v>
      </c>
      <c r="AF132" s="1067"/>
      <c r="AG132" s="1067">
        <v>31</v>
      </c>
      <c r="AH132" s="1067">
        <f>AG132*('Ввод исходных данных'!$D$83-AE132)</f>
        <v>858.69999999999993</v>
      </c>
      <c r="AI132" s="1068">
        <v>-11.4</v>
      </c>
      <c r="AJ132" s="1068"/>
      <c r="AK132" s="1068">
        <v>31</v>
      </c>
      <c r="AL132" s="1068">
        <f>AK132*('Ввод исходных данных'!$D$83-AI132)</f>
        <v>911.4</v>
      </c>
      <c r="AM132" s="1069">
        <v>-11.2</v>
      </c>
      <c r="AN132" s="1069"/>
      <c r="AO132" s="1069">
        <v>28</v>
      </c>
      <c r="AP132" s="1069">
        <f>AO132*('Ввод исходных данных'!$D$83-AM132)</f>
        <v>817.6</v>
      </c>
      <c r="AQ132" s="1064">
        <v>-9</v>
      </c>
      <c r="AR132" s="1064"/>
      <c r="AS132" s="1064">
        <f t="shared" si="19"/>
        <v>31</v>
      </c>
      <c r="AT132" s="1064">
        <f>AS132*('Ввод исходных данных'!$D$83-AQ132)</f>
        <v>837</v>
      </c>
      <c r="AU132" s="1070">
        <v>-3.6</v>
      </c>
      <c r="AV132" s="1070"/>
      <c r="AW132" s="1070">
        <f t="shared" si="20"/>
        <v>30</v>
      </c>
      <c r="AX132" s="1070">
        <f>AW132*('Ввод исходных данных'!$D$83-AU132)</f>
        <v>648</v>
      </c>
      <c r="AY132" s="1071">
        <v>1.6</v>
      </c>
      <c r="AZ132" s="1071"/>
      <c r="BA132" s="1071">
        <f t="shared" si="21"/>
        <v>31</v>
      </c>
      <c r="BB132" s="1071">
        <f>BA132*('Ввод исходных данных'!$D$83-AY132)</f>
        <v>508.4</v>
      </c>
      <c r="BC132" s="1072">
        <v>6.8</v>
      </c>
      <c r="BD132" s="1072"/>
      <c r="BE132" s="1072">
        <f t="shared" si="13"/>
        <v>2</v>
      </c>
      <c r="BF132" s="1073">
        <f>BE132*('Ввод исходных данных'!$D$83-BC132)</f>
        <v>22.4</v>
      </c>
    </row>
    <row r="133" spans="2:58" ht="15.75" customHeight="1" x14ac:dyDescent="0.25">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2940.6</v>
      </c>
      <c r="J133" s="1059" t="str">
        <f t="shared" si="12"/>
        <v>2000-3000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75.600000000000009</v>
      </c>
      <c r="AA133" s="1066">
        <v>3.7</v>
      </c>
      <c r="AB133" s="1066"/>
      <c r="AC133" s="1066">
        <f t="shared" si="18"/>
        <v>30</v>
      </c>
      <c r="AD133" s="1066">
        <f>AC133*('Ввод исходных данных'!$D$83-AA133)</f>
        <v>429</v>
      </c>
      <c r="AE133" s="1067">
        <v>-1.1000000000000001</v>
      </c>
      <c r="AF133" s="1067"/>
      <c r="AG133" s="1067">
        <v>31</v>
      </c>
      <c r="AH133" s="1067">
        <f>AG133*('Ввод исходных данных'!$D$83-AE133)</f>
        <v>592.1</v>
      </c>
      <c r="AI133" s="1068">
        <v>-4.4000000000000004</v>
      </c>
      <c r="AJ133" s="1068"/>
      <c r="AK133" s="1068">
        <v>31</v>
      </c>
      <c r="AL133" s="1068">
        <f>AK133*('Ввод исходных данных'!$D$83-AI133)</f>
        <v>694.4</v>
      </c>
      <c r="AM133" s="1069">
        <v>-2.2999999999999998</v>
      </c>
      <c r="AN133" s="1069"/>
      <c r="AO133" s="1069">
        <v>28</v>
      </c>
      <c r="AP133" s="1069">
        <f>AO133*('Ввод исходных данных'!$D$83-AM133)</f>
        <v>568.4</v>
      </c>
      <c r="AQ133" s="1064">
        <v>1.5</v>
      </c>
      <c r="AR133" s="1064"/>
      <c r="AS133" s="1064">
        <f t="shared" si="19"/>
        <v>31</v>
      </c>
      <c r="AT133" s="1064">
        <f>AS133*('Ввод исходных данных'!$D$83-AQ133)</f>
        <v>511.5</v>
      </c>
      <c r="AU133" s="1070">
        <v>9</v>
      </c>
      <c r="AV133" s="1070"/>
      <c r="AW133" s="1070">
        <f t="shared" si="20"/>
        <v>9</v>
      </c>
      <c r="AX133" s="1070">
        <f>AW133*('Ввод исходных данных'!$D$83-AU133)</f>
        <v>81</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25">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5902</v>
      </c>
      <c r="J134" s="1059" t="str">
        <f t="shared" si="12"/>
        <v>5000-6000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63.75</v>
      </c>
      <c r="W134" s="1065">
        <v>1.9</v>
      </c>
      <c r="X134" s="1065"/>
      <c r="Y134" s="1065">
        <f t="shared" si="17"/>
        <v>31</v>
      </c>
      <c r="Z134" s="1065">
        <f>Y134*('Ввод исходных данных'!$D$83-W134)</f>
        <v>499.1</v>
      </c>
      <c r="AA134" s="1066">
        <v>-7.8</v>
      </c>
      <c r="AB134" s="1066"/>
      <c r="AC134" s="1066">
        <f t="shared" si="18"/>
        <v>30</v>
      </c>
      <c r="AD134" s="1066">
        <f>AC134*('Ввод исходных данных'!$D$83-AA134)</f>
        <v>774</v>
      </c>
      <c r="AE134" s="1067">
        <v>-15.2</v>
      </c>
      <c r="AF134" s="1067"/>
      <c r="AG134" s="1067">
        <v>31</v>
      </c>
      <c r="AH134" s="1067">
        <f>AG134*('Ввод исходных данных'!$D$83-AE134)</f>
        <v>1029.2</v>
      </c>
      <c r="AI134" s="1068">
        <v>-17.899999999999999</v>
      </c>
      <c r="AJ134" s="1068"/>
      <c r="AK134" s="1068">
        <v>31</v>
      </c>
      <c r="AL134" s="1068">
        <f>AK134*('Ввод исходных данных'!$D$83-AI134)</f>
        <v>1112.8999999999999</v>
      </c>
      <c r="AM134" s="1069">
        <v>-15.8</v>
      </c>
      <c r="AN134" s="1069"/>
      <c r="AO134" s="1069">
        <v>28</v>
      </c>
      <c r="AP134" s="1069">
        <f>AO134*('Ввод исходных данных'!$D$83-AM134)</f>
        <v>946.39999999999986</v>
      </c>
      <c r="AQ134" s="1064">
        <v>-8.1</v>
      </c>
      <c r="AR134" s="1064"/>
      <c r="AS134" s="1064">
        <f t="shared" si="19"/>
        <v>31</v>
      </c>
      <c r="AT134" s="1064">
        <f>AS134*('Ввод исходных данных'!$D$83-AQ134)</f>
        <v>809.1</v>
      </c>
      <c r="AU134" s="1070">
        <v>1.8</v>
      </c>
      <c r="AV134" s="1070"/>
      <c r="AW134" s="1070">
        <f t="shared" si="20"/>
        <v>30</v>
      </c>
      <c r="AX134" s="1070">
        <f>AW134*('Ввод исходных данных'!$D$83-AU134)</f>
        <v>486</v>
      </c>
      <c r="AY134" s="1071">
        <v>10.6</v>
      </c>
      <c r="AZ134" s="1071"/>
      <c r="BA134" s="1071">
        <f t="shared" si="21"/>
        <v>7.5</v>
      </c>
      <c r="BB134" s="1071">
        <f>BA134*('Ввод исходных данных'!$D$83-AY134)</f>
        <v>55.5</v>
      </c>
      <c r="BC134" s="1072">
        <v>16.399999999999999</v>
      </c>
      <c r="BD134" s="1072"/>
      <c r="BE134" s="1072">
        <f t="shared" si="13"/>
        <v>0</v>
      </c>
      <c r="BF134" s="1073">
        <f>BE134*('Ввод исходных данных'!$D$83-BC134)</f>
        <v>0</v>
      </c>
    </row>
    <row r="135" spans="2:58" ht="15.75" customHeight="1" x14ac:dyDescent="0.25">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5743.1</v>
      </c>
      <c r="J135" s="1059" t="str">
        <f t="shared" si="12"/>
        <v>5000-6000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60</v>
      </c>
      <c r="W135" s="1065">
        <v>2.2000000000000002</v>
      </c>
      <c r="X135" s="1065"/>
      <c r="Y135" s="1065">
        <f t="shared" si="17"/>
        <v>31</v>
      </c>
      <c r="Z135" s="1065">
        <f>Y135*('Ввод исходных данных'!$D$83-W135)</f>
        <v>489.8</v>
      </c>
      <c r="AA135" s="1066">
        <v>-8.3000000000000007</v>
      </c>
      <c r="AB135" s="1066"/>
      <c r="AC135" s="1066">
        <f t="shared" si="18"/>
        <v>30</v>
      </c>
      <c r="AD135" s="1066">
        <f>AC135*('Ввод исходных данных'!$D$83-AA135)</f>
        <v>789</v>
      </c>
      <c r="AE135" s="1067">
        <v>-15.4</v>
      </c>
      <c r="AF135" s="1067"/>
      <c r="AG135" s="1067">
        <v>31</v>
      </c>
      <c r="AH135" s="1067">
        <f>AG135*('Ввод исходных данных'!$D$83-AE135)</f>
        <v>1035.3999999999999</v>
      </c>
      <c r="AI135" s="1068">
        <v>-17.2</v>
      </c>
      <c r="AJ135" s="1068"/>
      <c r="AK135" s="1068">
        <v>31</v>
      </c>
      <c r="AL135" s="1068">
        <f>AK135*('Ввод исходных данных'!$D$83-AI135)</f>
        <v>1091.2</v>
      </c>
      <c r="AM135" s="1069">
        <v>-15.5</v>
      </c>
      <c r="AN135" s="1069"/>
      <c r="AO135" s="1069">
        <v>28</v>
      </c>
      <c r="AP135" s="1069">
        <f>AO135*('Ввод исходных данных'!$D$83-AM135)</f>
        <v>938</v>
      </c>
      <c r="AQ135" s="1064">
        <v>-8.1</v>
      </c>
      <c r="AR135" s="1064"/>
      <c r="AS135" s="1064">
        <f t="shared" si="19"/>
        <v>31</v>
      </c>
      <c r="AT135" s="1064">
        <f>AS135*('Ввод исходных данных'!$D$83-AQ135)</f>
        <v>809.1</v>
      </c>
      <c r="AU135" s="1070">
        <v>2</v>
      </c>
      <c r="AV135" s="1070"/>
      <c r="AW135" s="1070">
        <f t="shared" si="20"/>
        <v>30</v>
      </c>
      <c r="AX135" s="1070">
        <f>AW135*('Ввод исходных данных'!$D$83-AU135)</f>
        <v>480</v>
      </c>
      <c r="AY135" s="1071">
        <v>10</v>
      </c>
      <c r="AZ135" s="1071"/>
      <c r="BA135" s="1071">
        <f t="shared" si="21"/>
        <v>7.5</v>
      </c>
      <c r="BB135" s="1071">
        <f>BA135*('Ввод исходных данных'!$D$83-AY135)</f>
        <v>60</v>
      </c>
      <c r="BC135" s="1072">
        <v>16.600000000000001</v>
      </c>
      <c r="BD135" s="1072"/>
      <c r="BE135" s="1072">
        <f t="shared" si="13"/>
        <v>0</v>
      </c>
      <c r="BF135" s="1073">
        <f>BE135*('Ввод исходных данных'!$D$83-BC135)</f>
        <v>0</v>
      </c>
    </row>
    <row r="136" spans="2:58" ht="15.75" customHeight="1" x14ac:dyDescent="0.25">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6088.8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112.80000000000001</v>
      </c>
      <c r="W136" s="1065">
        <v>1.4</v>
      </c>
      <c r="X136" s="1065"/>
      <c r="Y136" s="1065">
        <f t="shared" si="17"/>
        <v>31</v>
      </c>
      <c r="Z136" s="1065">
        <f>Y136*('Ввод исходных данных'!$D$83-W136)</f>
        <v>514.6</v>
      </c>
      <c r="AA136" s="1066">
        <v>-9.4</v>
      </c>
      <c r="AB136" s="1066"/>
      <c r="AC136" s="1066">
        <f t="shared" si="18"/>
        <v>30</v>
      </c>
      <c r="AD136" s="1066">
        <f>AC136*('Ввод исходных данных'!$D$83-AA136)</f>
        <v>822</v>
      </c>
      <c r="AE136" s="1067">
        <v>-17</v>
      </c>
      <c r="AF136" s="1067"/>
      <c r="AG136" s="1067">
        <v>31</v>
      </c>
      <c r="AH136" s="1067">
        <f>AG136*('Ввод исходных данных'!$D$83-AE136)</f>
        <v>1085</v>
      </c>
      <c r="AI136" s="1068">
        <v>-19.100000000000001</v>
      </c>
      <c r="AJ136" s="1068"/>
      <c r="AK136" s="1068">
        <v>31</v>
      </c>
      <c r="AL136" s="1068">
        <f>AK136*('Ввод исходных данных'!$D$83-AI136)</f>
        <v>1150.1000000000001</v>
      </c>
      <c r="AM136" s="1069">
        <v>-16.3</v>
      </c>
      <c r="AN136" s="1069"/>
      <c r="AO136" s="1069">
        <v>28</v>
      </c>
      <c r="AP136" s="1069">
        <f>AO136*('Ввод исходных данных'!$D$83-AM136)</f>
        <v>960.39999999999986</v>
      </c>
      <c r="AQ136" s="1064">
        <v>-8.6</v>
      </c>
      <c r="AR136" s="1064"/>
      <c r="AS136" s="1064">
        <f t="shared" si="19"/>
        <v>31</v>
      </c>
      <c r="AT136" s="1064">
        <f>AS136*('Ввод исходных данных'!$D$83-AQ136)</f>
        <v>824.6</v>
      </c>
      <c r="AU136" s="1070">
        <v>0.9</v>
      </c>
      <c r="AV136" s="1070"/>
      <c r="AW136" s="1070">
        <f t="shared" si="20"/>
        <v>30</v>
      </c>
      <c r="AX136" s="1070">
        <f>AW136*('Ввод исходных данных'!$D$83-AU136)</f>
        <v>513</v>
      </c>
      <c r="AY136" s="1071">
        <v>9.1</v>
      </c>
      <c r="AZ136" s="1071"/>
      <c r="BA136" s="1071">
        <f t="shared" si="21"/>
        <v>12</v>
      </c>
      <c r="BB136" s="1071">
        <f>BA136*('Ввод исходных данных'!$D$83-AY136)</f>
        <v>106.80000000000001</v>
      </c>
      <c r="BC136" s="1072">
        <v>15.2</v>
      </c>
      <c r="BD136" s="1072"/>
      <c r="BE136" s="1072">
        <f t="shared" si="13"/>
        <v>0</v>
      </c>
      <c r="BF136" s="1073">
        <f>BE136*('Ввод исходных данных'!$D$83-BC136)</f>
        <v>0</v>
      </c>
    </row>
    <row r="137" spans="2:58" ht="15.75" customHeight="1" x14ac:dyDescent="0.25">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6039.5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102.35000000000001</v>
      </c>
      <c r="W137" s="1065">
        <v>1</v>
      </c>
      <c r="X137" s="1065"/>
      <c r="Y137" s="1065">
        <f t="shared" si="17"/>
        <v>31</v>
      </c>
      <c r="Z137" s="1065">
        <f>Y137*('Ввод исходных данных'!$D$83-W137)</f>
        <v>527</v>
      </c>
      <c r="AA137" s="1066">
        <v>-9.1</v>
      </c>
      <c r="AB137" s="1066"/>
      <c r="AC137" s="1066">
        <f t="shared" si="18"/>
        <v>30</v>
      </c>
      <c r="AD137" s="1066">
        <f>AC137*('Ввод исходных данных'!$D$83-AA137)</f>
        <v>813</v>
      </c>
      <c r="AE137" s="1067">
        <v>-16.2</v>
      </c>
      <c r="AF137" s="1067"/>
      <c r="AG137" s="1067">
        <v>31</v>
      </c>
      <c r="AH137" s="1067">
        <f>AG137*('Ввод исходных данных'!$D$83-AE137)</f>
        <v>1060.2</v>
      </c>
      <c r="AI137" s="1068">
        <v>-17.8</v>
      </c>
      <c r="AJ137" s="1068"/>
      <c r="AK137" s="1068">
        <v>31</v>
      </c>
      <c r="AL137" s="1068">
        <f>AK137*('Ввод исходных данных'!$D$83-AI137)</f>
        <v>1109.8</v>
      </c>
      <c r="AM137" s="1069">
        <v>-16.2</v>
      </c>
      <c r="AN137" s="1069"/>
      <c r="AO137" s="1069">
        <v>28</v>
      </c>
      <c r="AP137" s="1069">
        <f>AO137*('Ввод исходных данных'!$D$83-AM137)</f>
        <v>957.60000000000014</v>
      </c>
      <c r="AQ137" s="1064">
        <v>-9.3000000000000007</v>
      </c>
      <c r="AR137" s="1064"/>
      <c r="AS137" s="1064">
        <f t="shared" si="19"/>
        <v>31</v>
      </c>
      <c r="AT137" s="1064">
        <f>AS137*('Ввод исходных данных'!$D$83-AQ137)</f>
        <v>846.30000000000007</v>
      </c>
      <c r="AU137" s="1070">
        <v>0.8</v>
      </c>
      <c r="AV137" s="1070"/>
      <c r="AW137" s="1070">
        <f t="shared" si="20"/>
        <v>30</v>
      </c>
      <c r="AX137" s="1070">
        <f>AW137*('Ввод исходных данных'!$D$83-AU137)</f>
        <v>516</v>
      </c>
      <c r="AY137" s="1071">
        <v>9</v>
      </c>
      <c r="AZ137" s="1071"/>
      <c r="BA137" s="1071">
        <f t="shared" si="21"/>
        <v>11.5</v>
      </c>
      <c r="BB137" s="1071">
        <f>BA137*('Ввод исходных данных'!$D$83-AY137)</f>
        <v>103.5</v>
      </c>
      <c r="BC137" s="1072">
        <v>15.9</v>
      </c>
      <c r="BD137" s="1072"/>
      <c r="BE137" s="1072">
        <f t="shared" si="13"/>
        <v>0</v>
      </c>
      <c r="BF137" s="1073">
        <f>BE137*('Ввод исходных данных'!$D$83-BC137)</f>
        <v>0</v>
      </c>
    </row>
    <row r="138" spans="2:58" ht="15.75" customHeight="1" x14ac:dyDescent="0.25">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6240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138.6</v>
      </c>
      <c r="W138" s="1065">
        <v>0.5</v>
      </c>
      <c r="X138" s="1065"/>
      <c r="Y138" s="1065">
        <f t="shared" si="17"/>
        <v>31</v>
      </c>
      <c r="Z138" s="1065">
        <f>Y138*('Ввод исходных данных'!$D$83-W138)</f>
        <v>542.5</v>
      </c>
      <c r="AA138" s="1066">
        <v>-9.1</v>
      </c>
      <c r="AB138" s="1066"/>
      <c r="AC138" s="1066">
        <f t="shared" si="18"/>
        <v>30</v>
      </c>
      <c r="AD138" s="1066">
        <f>AC138*('Ввод исходных данных'!$D$83-AA138)</f>
        <v>813</v>
      </c>
      <c r="AE138" s="1067">
        <v>-15.8</v>
      </c>
      <c r="AF138" s="1067"/>
      <c r="AG138" s="1067">
        <v>31</v>
      </c>
      <c r="AH138" s="1067">
        <f>AG138*('Ввод исходных данных'!$D$83-AE138)</f>
        <v>1047.8</v>
      </c>
      <c r="AI138" s="1068">
        <v>-18</v>
      </c>
      <c r="AJ138" s="1068"/>
      <c r="AK138" s="1068">
        <v>31</v>
      </c>
      <c r="AL138" s="1068">
        <f>AK138*('Ввод исходных данных'!$D$83-AI138)</f>
        <v>1116</v>
      </c>
      <c r="AM138" s="1069">
        <v>-16.100000000000001</v>
      </c>
      <c r="AN138" s="1069"/>
      <c r="AO138" s="1069">
        <v>28</v>
      </c>
      <c r="AP138" s="1069">
        <f>AO138*('Ввод исходных данных'!$D$83-AM138)</f>
        <v>954.80000000000007</v>
      </c>
      <c r="AQ138" s="1064">
        <v>-8.3000000000000007</v>
      </c>
      <c r="AR138" s="1064"/>
      <c r="AS138" s="1064">
        <f t="shared" si="19"/>
        <v>31</v>
      </c>
      <c r="AT138" s="1064">
        <f>AS138*('Ввод исходных данных'!$D$83-AQ138)</f>
        <v>815.30000000000007</v>
      </c>
      <c r="AU138" s="1070">
        <v>0.3</v>
      </c>
      <c r="AV138" s="1070"/>
      <c r="AW138" s="1070">
        <f t="shared" si="20"/>
        <v>30</v>
      </c>
      <c r="AX138" s="1070">
        <f>AW138*('Ввод исходных данных'!$D$83-AU138)</f>
        <v>531</v>
      </c>
      <c r="AY138" s="1071">
        <v>8.8000000000000007</v>
      </c>
      <c r="AZ138" s="1071"/>
      <c r="BA138" s="1071">
        <f t="shared" si="21"/>
        <v>14</v>
      </c>
      <c r="BB138" s="1071">
        <f>BA138*('Ввод исходных данных'!$D$83-AY138)</f>
        <v>128.79999999999998</v>
      </c>
      <c r="BC138" s="1072">
        <v>14.9</v>
      </c>
      <c r="BD138" s="1072"/>
      <c r="BE138" s="1072">
        <f t="shared" ref="BE138:BE201" si="24">IF((E138-273)&gt;0,IF((E138-273)/2&gt;30,30,(E138-273)/2),0)</f>
        <v>0</v>
      </c>
      <c r="BF138" s="1073">
        <f>BE138*('Ввод исходных данных'!$D$83-BC138)</f>
        <v>0</v>
      </c>
    </row>
    <row r="139" spans="2:58" ht="15.75" customHeight="1" x14ac:dyDescent="0.25">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5798.1</v>
      </c>
      <c r="J139" s="1059" t="str">
        <f t="shared" si="23"/>
        <v>5000-6000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83.600000000000009</v>
      </c>
      <c r="W139" s="1065">
        <v>1.8</v>
      </c>
      <c r="X139" s="1065"/>
      <c r="Y139" s="1065">
        <f t="shared" ref="Y139:Y202" si="28">IF((E139-151)&gt;0,IF((E139-151)/2&gt;31,31,(E139-151)/2),0)</f>
        <v>31</v>
      </c>
      <c r="Z139" s="1065">
        <f>Y139*('Ввод исходных данных'!$D$83-W139)</f>
        <v>502.2</v>
      </c>
      <c r="AA139" s="1066">
        <v>-7.5</v>
      </c>
      <c r="AB139" s="1066"/>
      <c r="AC139" s="1066">
        <f t="shared" ref="AC139:AC202" si="29">IF((E139-90)/2&gt;30,30,(E139-90)/2)</f>
        <v>30</v>
      </c>
      <c r="AD139" s="1066">
        <f>AC139*('Ввод исходных данных'!$D$83-AA139)</f>
        <v>765</v>
      </c>
      <c r="AE139" s="1067">
        <v>-13.8</v>
      </c>
      <c r="AF139" s="1067"/>
      <c r="AG139" s="1067">
        <v>31</v>
      </c>
      <c r="AH139" s="1067">
        <f>AG139*('Ввод исходных данных'!$D$83-AE139)</f>
        <v>985.80000000000007</v>
      </c>
      <c r="AI139" s="1068">
        <v>-16.3</v>
      </c>
      <c r="AJ139" s="1068"/>
      <c r="AK139" s="1068">
        <v>31</v>
      </c>
      <c r="AL139" s="1068">
        <f>AK139*('Ввод исходных данных'!$D$83-AI139)</f>
        <v>1063.3</v>
      </c>
      <c r="AM139" s="1069">
        <v>-14.7</v>
      </c>
      <c r="AN139" s="1069"/>
      <c r="AO139" s="1069">
        <v>28</v>
      </c>
      <c r="AP139" s="1069">
        <f>AO139*('Ввод исходных данных'!$D$83-AM139)</f>
        <v>915.60000000000014</v>
      </c>
      <c r="AQ139" s="1064">
        <v>-7.2</v>
      </c>
      <c r="AR139" s="1064"/>
      <c r="AS139" s="1064">
        <f t="shared" ref="AS139:AS202" si="30">IF((E139-90)/2&gt;31,31,(E139-90)/2)</f>
        <v>31</v>
      </c>
      <c r="AT139" s="1064">
        <f>AS139*('Ввод исходных данных'!$D$83-AQ139)</f>
        <v>781.19999999999993</v>
      </c>
      <c r="AU139" s="1070">
        <v>1.7</v>
      </c>
      <c r="AV139" s="1070"/>
      <c r="AW139" s="1070">
        <f t="shared" ref="AW139:AW202" si="31">IF((E139-151)&gt;0,IF((E139-151)/2&gt;30,30,(E139-151)/2),0)</f>
        <v>30</v>
      </c>
      <c r="AX139" s="1070">
        <f>AW139*('Ввод исходных данных'!$D$83-AU139)</f>
        <v>489</v>
      </c>
      <c r="AY139" s="1071">
        <v>9.8000000000000007</v>
      </c>
      <c r="AZ139" s="1071"/>
      <c r="BA139" s="1071">
        <f t="shared" ref="BA139:BA202" si="32">IF((E139-212)&gt;0,IF((E139-212)/2&gt;31,31,(E139-212)/2),0)</f>
        <v>9.5</v>
      </c>
      <c r="BB139" s="1071">
        <f>BA139*('Ввод исходных данных'!$D$83-AY139)</f>
        <v>77.899999999999991</v>
      </c>
      <c r="BC139" s="1072">
        <v>15.7</v>
      </c>
      <c r="BD139" s="1072"/>
      <c r="BE139" s="1072">
        <f t="shared" si="24"/>
        <v>0</v>
      </c>
      <c r="BF139" s="1073">
        <f>BE139*('Ввод исходных данных'!$D$83-BC139)</f>
        <v>0</v>
      </c>
    </row>
    <row r="140" spans="2:58" ht="15.75" customHeight="1" x14ac:dyDescent="0.25">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6157</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101.2</v>
      </c>
      <c r="W140" s="1065">
        <v>0.7</v>
      </c>
      <c r="X140" s="1065"/>
      <c r="Y140" s="1065">
        <f t="shared" si="28"/>
        <v>31</v>
      </c>
      <c r="Z140" s="1065">
        <f>Y140*('Ввод исходных данных'!$D$83-W140)</f>
        <v>536.30000000000007</v>
      </c>
      <c r="AA140" s="1066">
        <v>-10.199999999999999</v>
      </c>
      <c r="AB140" s="1066"/>
      <c r="AC140" s="1066">
        <f t="shared" si="29"/>
        <v>30</v>
      </c>
      <c r="AD140" s="1066">
        <f>AC140*('Ввод исходных данных'!$D$83-AA140)</f>
        <v>846</v>
      </c>
      <c r="AE140" s="1067">
        <v>-16.5</v>
      </c>
      <c r="AF140" s="1067"/>
      <c r="AG140" s="1067">
        <v>31</v>
      </c>
      <c r="AH140" s="1067">
        <f>AG140*('Ввод исходных данных'!$D$83-AE140)</f>
        <v>1069.5</v>
      </c>
      <c r="AI140" s="1068">
        <v>-18.2</v>
      </c>
      <c r="AJ140" s="1068"/>
      <c r="AK140" s="1068">
        <v>31</v>
      </c>
      <c r="AL140" s="1068">
        <f>AK140*('Ввод исходных данных'!$D$83-AI140)</f>
        <v>1122.2</v>
      </c>
      <c r="AM140" s="1069">
        <v>-16.100000000000001</v>
      </c>
      <c r="AN140" s="1069"/>
      <c r="AO140" s="1069">
        <v>28</v>
      </c>
      <c r="AP140" s="1069">
        <f>AO140*('Ввод исходных данных'!$D$83-AM140)</f>
        <v>954.80000000000007</v>
      </c>
      <c r="AQ140" s="1064">
        <v>-10.199999999999999</v>
      </c>
      <c r="AR140" s="1064"/>
      <c r="AS140" s="1064">
        <f t="shared" si="30"/>
        <v>31</v>
      </c>
      <c r="AT140" s="1064">
        <f>AS140*('Ввод исходных данных'!$D$83-AQ140)</f>
        <v>874.19999999999993</v>
      </c>
      <c r="AU140" s="1070">
        <v>-0.2</v>
      </c>
      <c r="AV140" s="1070"/>
      <c r="AW140" s="1070">
        <f t="shared" si="31"/>
        <v>30</v>
      </c>
      <c r="AX140" s="1070">
        <f>AW140*('Ввод исходных данных'!$D$83-AU140)</f>
        <v>546</v>
      </c>
      <c r="AY140" s="1071">
        <v>8.9</v>
      </c>
      <c r="AZ140" s="1071"/>
      <c r="BA140" s="1071">
        <f t="shared" si="32"/>
        <v>11.5</v>
      </c>
      <c r="BB140" s="1071">
        <f>BA140*('Ввод исходных данных'!$D$83-AY140)</f>
        <v>104.64999999999999</v>
      </c>
      <c r="BC140" s="1072">
        <v>15.8</v>
      </c>
      <c r="BD140" s="1072"/>
      <c r="BE140" s="1072">
        <f t="shared" si="24"/>
        <v>0</v>
      </c>
      <c r="BF140" s="1073">
        <f>BE140*('Ввод исходных данных'!$D$83-BC140)</f>
        <v>0</v>
      </c>
    </row>
    <row r="141" spans="2:58" ht="15.75" customHeight="1" x14ac:dyDescent="0.25">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6507</v>
      </c>
      <c r="J141" s="1059" t="str">
        <f t="shared" si="23"/>
        <v>6000-7000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139.19999999999999</v>
      </c>
      <c r="W141" s="1065">
        <v>0.4</v>
      </c>
      <c r="X141" s="1065"/>
      <c r="Y141" s="1065">
        <f t="shared" si="28"/>
        <v>31</v>
      </c>
      <c r="Z141" s="1065">
        <f>Y141*('Ввод исходных данных'!$D$83-W141)</f>
        <v>545.6</v>
      </c>
      <c r="AA141" s="1066">
        <v>-10.5</v>
      </c>
      <c r="AB141" s="1066"/>
      <c r="AC141" s="1066">
        <f t="shared" si="29"/>
        <v>30</v>
      </c>
      <c r="AD141" s="1066">
        <f>AC141*('Ввод исходных данных'!$D$83-AA141)</f>
        <v>855</v>
      </c>
      <c r="AE141" s="1067">
        <v>-19</v>
      </c>
      <c r="AF141" s="1067"/>
      <c r="AG141" s="1067">
        <v>31</v>
      </c>
      <c r="AH141" s="1067">
        <f>AG141*('Ввод исходных данных'!$D$83-AE141)</f>
        <v>1147</v>
      </c>
      <c r="AI141" s="1068">
        <v>-22.1</v>
      </c>
      <c r="AJ141" s="1068"/>
      <c r="AK141" s="1068">
        <v>31</v>
      </c>
      <c r="AL141" s="1068">
        <f>AK141*('Ввод исходных данных'!$D$83-AI141)</f>
        <v>1243.1000000000001</v>
      </c>
      <c r="AM141" s="1069">
        <v>-18</v>
      </c>
      <c r="AN141" s="1069"/>
      <c r="AO141" s="1069">
        <v>28</v>
      </c>
      <c r="AP141" s="1069">
        <f>AO141*('Ввод исходных данных'!$D$83-AM141)</f>
        <v>1008</v>
      </c>
      <c r="AQ141" s="1064">
        <v>-10</v>
      </c>
      <c r="AR141" s="1064"/>
      <c r="AS141" s="1064">
        <f t="shared" si="30"/>
        <v>31</v>
      </c>
      <c r="AT141" s="1064">
        <f>AS141*('Ввод исходных данных'!$D$83-AQ141)</f>
        <v>868</v>
      </c>
      <c r="AU141" s="1070">
        <v>-0.4</v>
      </c>
      <c r="AV141" s="1070"/>
      <c r="AW141" s="1070">
        <f t="shared" si="31"/>
        <v>30</v>
      </c>
      <c r="AX141" s="1070">
        <f>AW141*('Ввод исходных данных'!$D$83-AU141)</f>
        <v>552</v>
      </c>
      <c r="AY141" s="1071">
        <v>8.1</v>
      </c>
      <c r="AZ141" s="1071"/>
      <c r="BA141" s="1071">
        <f t="shared" si="32"/>
        <v>14.5</v>
      </c>
      <c r="BB141" s="1071">
        <f>BA141*('Ввод исходных данных'!$D$83-AY141)</f>
        <v>143.55000000000001</v>
      </c>
      <c r="BC141" s="1072">
        <v>14.6</v>
      </c>
      <c r="BD141" s="1072"/>
      <c r="BE141" s="1072">
        <f t="shared" si="24"/>
        <v>0</v>
      </c>
      <c r="BF141" s="1073">
        <f>BE141*('Ввод исходных данных'!$D$83-BC141)</f>
        <v>0</v>
      </c>
    </row>
    <row r="142" spans="2:58" ht="15.75" customHeight="1" x14ac:dyDescent="0.25">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5405.4</v>
      </c>
      <c r="J142" s="1059" t="str">
        <f t="shared" si="23"/>
        <v>5000-6000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85.5</v>
      </c>
      <c r="W142" s="1065">
        <v>1.5</v>
      </c>
      <c r="X142" s="1065"/>
      <c r="Y142" s="1065">
        <f t="shared" si="28"/>
        <v>31</v>
      </c>
      <c r="Z142" s="1065">
        <f>Y142*('Ввод исходных данных'!$D$83-W142)</f>
        <v>511.5</v>
      </c>
      <c r="AA142" s="1066">
        <v>-5.7</v>
      </c>
      <c r="AB142" s="1066"/>
      <c r="AC142" s="1066">
        <f t="shared" si="29"/>
        <v>30</v>
      </c>
      <c r="AD142" s="1066">
        <f>AC142*('Ввод исходных данных'!$D$83-AA142)</f>
        <v>711</v>
      </c>
      <c r="AE142" s="1067">
        <v>-11.8</v>
      </c>
      <c r="AF142" s="1067"/>
      <c r="AG142" s="1067">
        <v>31</v>
      </c>
      <c r="AH142" s="1067">
        <f>AG142*('Ввод исходных данных'!$D$83-AE142)</f>
        <v>923.80000000000007</v>
      </c>
      <c r="AI142" s="1068">
        <v>-14.4</v>
      </c>
      <c r="AJ142" s="1068"/>
      <c r="AK142" s="1068">
        <v>31</v>
      </c>
      <c r="AL142" s="1068">
        <f>AK142*('Ввод исходных данных'!$D$83-AI142)</f>
        <v>1004.4</v>
      </c>
      <c r="AM142" s="1069">
        <v>-12.9</v>
      </c>
      <c r="AN142" s="1069"/>
      <c r="AO142" s="1069">
        <v>28</v>
      </c>
      <c r="AP142" s="1069">
        <f>AO142*('Ввод исходных данных'!$D$83-AM142)</f>
        <v>865.19999999999993</v>
      </c>
      <c r="AQ142" s="1064">
        <v>-6.7</v>
      </c>
      <c r="AR142" s="1064"/>
      <c r="AS142" s="1064">
        <f t="shared" si="30"/>
        <v>31</v>
      </c>
      <c r="AT142" s="1064">
        <f>AS142*('Ввод исходных данных'!$D$83-AQ142)</f>
        <v>765.69999999999993</v>
      </c>
      <c r="AU142" s="1070">
        <v>2.2000000000000002</v>
      </c>
      <c r="AV142" s="1070"/>
      <c r="AW142" s="1070">
        <f t="shared" si="31"/>
        <v>30</v>
      </c>
      <c r="AX142" s="1070">
        <f>AW142*('Ввод исходных данных'!$D$83-AU142)</f>
        <v>474</v>
      </c>
      <c r="AY142" s="1071">
        <v>10</v>
      </c>
      <c r="AZ142" s="1071"/>
      <c r="BA142" s="1071">
        <f t="shared" si="32"/>
        <v>9.5</v>
      </c>
      <c r="BB142" s="1071">
        <f>BA142*('Ввод исходных данных'!$D$83-AY142)</f>
        <v>76</v>
      </c>
      <c r="BC142" s="1072">
        <v>15.4</v>
      </c>
      <c r="BD142" s="1072"/>
      <c r="BE142" s="1072">
        <f t="shared" si="24"/>
        <v>0</v>
      </c>
      <c r="BF142" s="1073">
        <f>BE142*('Ввод исходных данных'!$D$83-BC142)</f>
        <v>0</v>
      </c>
    </row>
    <row r="143" spans="2:58" ht="15.75" customHeight="1" x14ac:dyDescent="0.25">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5688.2</v>
      </c>
      <c r="J143" s="1059" t="str">
        <f t="shared" si="23"/>
        <v>5000-6000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128.25</v>
      </c>
      <c r="W143" s="1065">
        <v>0.8</v>
      </c>
      <c r="X143" s="1065"/>
      <c r="Y143" s="1065">
        <f t="shared" si="28"/>
        <v>31</v>
      </c>
      <c r="Z143" s="1065">
        <f>Y143*('Ввод исходных данных'!$D$83-W143)</f>
        <v>533.19999999999993</v>
      </c>
      <c r="AA143" s="1066">
        <v>-6</v>
      </c>
      <c r="AB143" s="1066"/>
      <c r="AC143" s="1066">
        <f t="shared" si="29"/>
        <v>30</v>
      </c>
      <c r="AD143" s="1066">
        <f>AC143*('Ввод исходных данных'!$D$83-AA143)</f>
        <v>720</v>
      </c>
      <c r="AE143" s="1067">
        <v>-12.5</v>
      </c>
      <c r="AF143" s="1067"/>
      <c r="AG143" s="1067">
        <v>31</v>
      </c>
      <c r="AH143" s="1067">
        <f>AG143*('Ввод исходных данных'!$D$83-AE143)</f>
        <v>945.5</v>
      </c>
      <c r="AI143" s="1068">
        <v>-14.9</v>
      </c>
      <c r="AJ143" s="1068"/>
      <c r="AK143" s="1068">
        <v>31</v>
      </c>
      <c r="AL143" s="1068">
        <f>AK143*('Ввод исходных данных'!$D$83-AI143)</f>
        <v>1019.9</v>
      </c>
      <c r="AM143" s="1069">
        <v>-13.7</v>
      </c>
      <c r="AN143" s="1069"/>
      <c r="AO143" s="1069">
        <v>28</v>
      </c>
      <c r="AP143" s="1069">
        <f>AO143*('Ввод исходных данных'!$D$83-AM143)</f>
        <v>887.6</v>
      </c>
      <c r="AQ143" s="1064">
        <v>-7.1</v>
      </c>
      <c r="AR143" s="1064"/>
      <c r="AS143" s="1064">
        <f t="shared" si="30"/>
        <v>31</v>
      </c>
      <c r="AT143" s="1064">
        <f>AS143*('Ввод исходных данных'!$D$83-AQ143)</f>
        <v>778.1</v>
      </c>
      <c r="AU143" s="1070">
        <v>1.6</v>
      </c>
      <c r="AV143" s="1070"/>
      <c r="AW143" s="1070">
        <f t="shared" si="31"/>
        <v>30</v>
      </c>
      <c r="AX143" s="1070">
        <f>AW143*('Ввод исходных данных'!$D$83-AU143)</f>
        <v>491.99999999999994</v>
      </c>
      <c r="AY143" s="1071">
        <v>9</v>
      </c>
      <c r="AZ143" s="1071"/>
      <c r="BA143" s="1071">
        <f t="shared" si="32"/>
        <v>13.5</v>
      </c>
      <c r="BB143" s="1071">
        <f>BA143*('Ввод исходных данных'!$D$83-AY143)</f>
        <v>121.5</v>
      </c>
      <c r="BC143" s="1072">
        <v>14.6</v>
      </c>
      <c r="BD143" s="1072"/>
      <c r="BE143" s="1072">
        <f t="shared" si="24"/>
        <v>0</v>
      </c>
      <c r="BF143" s="1073">
        <f>BE143*('Ввод исходных данных'!$D$83-BC143)</f>
        <v>0</v>
      </c>
    </row>
    <row r="144" spans="2:58" ht="15.75" customHeight="1" x14ac:dyDescent="0.25">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5214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30.4</v>
      </c>
      <c r="W144" s="1065">
        <v>2.8</v>
      </c>
      <c r="X144" s="1065"/>
      <c r="Y144" s="1065">
        <f t="shared" si="28"/>
        <v>31</v>
      </c>
      <c r="Z144" s="1065">
        <f>Y144*('Ввод исходных данных'!$D$83-W144)</f>
        <v>471.2</v>
      </c>
      <c r="AA144" s="1066">
        <v>-5.2</v>
      </c>
      <c r="AB144" s="1066"/>
      <c r="AC144" s="1066">
        <f t="shared" si="29"/>
        <v>30</v>
      </c>
      <c r="AD144" s="1066">
        <f>AC144*('Ввод исходных данных'!$D$83-AA144)</f>
        <v>696</v>
      </c>
      <c r="AE144" s="1067">
        <v>-11.5</v>
      </c>
      <c r="AF144" s="1067"/>
      <c r="AG144" s="1067">
        <v>31</v>
      </c>
      <c r="AH144" s="1067">
        <f>AG144*('Ввод исходных данных'!$D$83-AE144)</f>
        <v>914.5</v>
      </c>
      <c r="AI144" s="1068">
        <v>-14</v>
      </c>
      <c r="AJ144" s="1068"/>
      <c r="AK144" s="1068">
        <v>31</v>
      </c>
      <c r="AL144" s="1068">
        <f>AK144*('Ввод исходных данных'!$D$83-AI144)</f>
        <v>992</v>
      </c>
      <c r="AM144" s="1069">
        <v>-13.2</v>
      </c>
      <c r="AN144" s="1069"/>
      <c r="AO144" s="1069">
        <v>28</v>
      </c>
      <c r="AP144" s="1069">
        <f>AO144*('Ввод исходных данных'!$D$83-AM144)</f>
        <v>873.6</v>
      </c>
      <c r="AQ144" s="1064">
        <v>-7.4</v>
      </c>
      <c r="AR144" s="1064"/>
      <c r="AS144" s="1064">
        <f t="shared" si="30"/>
        <v>31</v>
      </c>
      <c r="AT144" s="1064">
        <f>AS144*('Ввод исходных данных'!$D$83-AQ144)</f>
        <v>787.4</v>
      </c>
      <c r="AU144" s="1070">
        <v>2.8</v>
      </c>
      <c r="AV144" s="1070"/>
      <c r="AW144" s="1070">
        <f t="shared" si="31"/>
        <v>30</v>
      </c>
      <c r="AX144" s="1070">
        <f>AW144*('Ввод исходных данных'!$D$83-AU144)</f>
        <v>456</v>
      </c>
      <c r="AY144" s="1071">
        <v>11.6</v>
      </c>
      <c r="AZ144" s="1071"/>
      <c r="BA144" s="1071">
        <f t="shared" si="32"/>
        <v>4</v>
      </c>
      <c r="BB144" s="1071">
        <f>BA144*('Ввод исходных данных'!$D$83-AY144)</f>
        <v>25.6</v>
      </c>
      <c r="BC144" s="1072">
        <v>16.8</v>
      </c>
      <c r="BD144" s="1072"/>
      <c r="BE144" s="1072">
        <f t="shared" si="24"/>
        <v>0</v>
      </c>
      <c r="BF144" s="1073">
        <f>BE144*('Ввод исходных данных'!$D$83-BC144)</f>
        <v>0</v>
      </c>
    </row>
    <row r="145" spans="2:58" ht="15.75" customHeight="1" x14ac:dyDescent="0.25">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4861.7999999999993</v>
      </c>
      <c r="J145" s="1059" t="str">
        <f t="shared" si="23"/>
        <v>4000-5000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40</v>
      </c>
      <c r="W145" s="1065">
        <v>3.2</v>
      </c>
      <c r="X145" s="1065"/>
      <c r="Y145" s="1065">
        <f t="shared" si="28"/>
        <v>31</v>
      </c>
      <c r="Z145" s="1065">
        <f>Y145*('Ввод исходных данных'!$D$83-W145)</f>
        <v>458.8</v>
      </c>
      <c r="AA145" s="1066">
        <v>-2.9</v>
      </c>
      <c r="AB145" s="1066"/>
      <c r="AC145" s="1066">
        <f t="shared" si="29"/>
        <v>30</v>
      </c>
      <c r="AD145" s="1066">
        <f>AC145*('Ввод исходных данных'!$D$83-AA145)</f>
        <v>627</v>
      </c>
      <c r="AE145" s="1067">
        <v>-8.6999999999999993</v>
      </c>
      <c r="AF145" s="1067"/>
      <c r="AG145" s="1067">
        <v>31</v>
      </c>
      <c r="AH145" s="1067">
        <f>AG145*('Ввод исходных данных'!$D$83-AE145)</f>
        <v>827.69999999999993</v>
      </c>
      <c r="AI145" s="1068">
        <v>-11.8</v>
      </c>
      <c r="AJ145" s="1068"/>
      <c r="AK145" s="1068">
        <v>31</v>
      </c>
      <c r="AL145" s="1068">
        <f>AK145*('Ввод исходных данных'!$D$83-AI145)</f>
        <v>923.80000000000007</v>
      </c>
      <c r="AM145" s="1069">
        <v>-11.1</v>
      </c>
      <c r="AN145" s="1069"/>
      <c r="AO145" s="1069">
        <v>28</v>
      </c>
      <c r="AP145" s="1069">
        <f>AO145*('Ввод исходных данных'!$D$83-AM145)</f>
        <v>814.80000000000007</v>
      </c>
      <c r="AQ145" s="1064">
        <v>-5.3</v>
      </c>
      <c r="AR145" s="1064"/>
      <c r="AS145" s="1064">
        <f t="shared" si="30"/>
        <v>31</v>
      </c>
      <c r="AT145" s="1064">
        <f>AS145*('Ввод исходных данных'!$D$83-AQ145)</f>
        <v>722.30000000000007</v>
      </c>
      <c r="AU145" s="1070">
        <v>3.2</v>
      </c>
      <c r="AV145" s="1070"/>
      <c r="AW145" s="1070">
        <f t="shared" si="31"/>
        <v>30</v>
      </c>
      <c r="AX145" s="1070">
        <f>AW145*('Ввод исходных данных'!$D$83-AU145)</f>
        <v>444</v>
      </c>
      <c r="AY145" s="1071">
        <v>10.9</v>
      </c>
      <c r="AZ145" s="1071"/>
      <c r="BA145" s="1071">
        <f t="shared" si="32"/>
        <v>5</v>
      </c>
      <c r="BB145" s="1071">
        <f>BA145*('Ввод исходных данных'!$D$83-AY145)</f>
        <v>35.5</v>
      </c>
      <c r="BC145" s="1072">
        <v>15.5</v>
      </c>
      <c r="BD145" s="1072"/>
      <c r="BE145" s="1072">
        <f t="shared" si="24"/>
        <v>0</v>
      </c>
      <c r="BF145" s="1073">
        <f>BE145*('Ввод исходных данных'!$D$83-BC145)</f>
        <v>0</v>
      </c>
    </row>
    <row r="146" spans="2:58" ht="15.75" customHeight="1" x14ac:dyDescent="0.25">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5129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79.2</v>
      </c>
      <c r="W146" s="1065">
        <v>2.4</v>
      </c>
      <c r="X146" s="1065"/>
      <c r="Y146" s="1065">
        <f t="shared" si="28"/>
        <v>31</v>
      </c>
      <c r="Z146" s="1065">
        <f>Y146*('Ввод исходных данных'!$D$83-W146)</f>
        <v>483.59999999999997</v>
      </c>
      <c r="AA146" s="1066">
        <v>-3.6</v>
      </c>
      <c r="AB146" s="1066"/>
      <c r="AC146" s="1066">
        <f t="shared" si="29"/>
        <v>30</v>
      </c>
      <c r="AD146" s="1066">
        <f>AC146*('Ввод исходных данных'!$D$83-AA146)</f>
        <v>648</v>
      </c>
      <c r="AE146" s="1067">
        <v>-9.8000000000000007</v>
      </c>
      <c r="AF146" s="1067"/>
      <c r="AG146" s="1067">
        <v>31</v>
      </c>
      <c r="AH146" s="1067">
        <f>AG146*('Ввод исходных данных'!$D$83-AE146)</f>
        <v>861.80000000000007</v>
      </c>
      <c r="AI146" s="1068">
        <v>-12.8</v>
      </c>
      <c r="AJ146" s="1068"/>
      <c r="AK146" s="1068">
        <v>31</v>
      </c>
      <c r="AL146" s="1068">
        <f>AK146*('Ввод исходных данных'!$D$83-AI146)</f>
        <v>954.80000000000007</v>
      </c>
      <c r="AM146" s="1069">
        <v>-11.6</v>
      </c>
      <c r="AN146" s="1069"/>
      <c r="AO146" s="1069">
        <v>28</v>
      </c>
      <c r="AP146" s="1069">
        <f>AO146*('Ввод исходных данных'!$D$83-AM146)</f>
        <v>828.80000000000007</v>
      </c>
      <c r="AQ146" s="1064">
        <v>-5.7</v>
      </c>
      <c r="AR146" s="1064"/>
      <c r="AS146" s="1064">
        <f t="shared" si="30"/>
        <v>31</v>
      </c>
      <c r="AT146" s="1064">
        <f>AS146*('Ввод исходных данных'!$D$83-AQ146)</f>
        <v>734.69999999999993</v>
      </c>
      <c r="AU146" s="1070">
        <v>2.5</v>
      </c>
      <c r="AV146" s="1070"/>
      <c r="AW146" s="1070">
        <f t="shared" si="31"/>
        <v>30</v>
      </c>
      <c r="AX146" s="1070">
        <f>AW146*('Ввод исходных данных'!$D$83-AU146)</f>
        <v>465</v>
      </c>
      <c r="AY146" s="1071">
        <v>9.6999999999999993</v>
      </c>
      <c r="AZ146" s="1071"/>
      <c r="BA146" s="1071">
        <f t="shared" si="32"/>
        <v>9</v>
      </c>
      <c r="BB146" s="1071">
        <f>BA146*('Ввод исходных данных'!$D$83-AY146)</f>
        <v>74.7</v>
      </c>
      <c r="BC146" s="1072">
        <v>14.8</v>
      </c>
      <c r="BD146" s="1072"/>
      <c r="BE146" s="1072">
        <f t="shared" si="24"/>
        <v>0</v>
      </c>
      <c r="BF146" s="1073">
        <f>BE146*('Ввод исходных данных'!$D$83-BC146)</f>
        <v>0</v>
      </c>
    </row>
    <row r="147" spans="2:58" ht="15.75" customHeight="1" x14ac:dyDescent="0.25">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5175.5999999999995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69.599999999999994</v>
      </c>
      <c r="W147" s="1065">
        <v>2.2999999999999998</v>
      </c>
      <c r="X147" s="1065"/>
      <c r="Y147" s="1065">
        <f t="shared" si="28"/>
        <v>31</v>
      </c>
      <c r="Z147" s="1065">
        <f>Y147*('Ввод исходных данных'!$D$83-W147)</f>
        <v>486.7</v>
      </c>
      <c r="AA147" s="1066">
        <v>-4.7</v>
      </c>
      <c r="AB147" s="1066"/>
      <c r="AC147" s="1066">
        <f t="shared" si="29"/>
        <v>30</v>
      </c>
      <c r="AD147" s="1066">
        <f>AC147*('Ввод исходных данных'!$D$83-AA147)</f>
        <v>681</v>
      </c>
      <c r="AE147" s="1067">
        <v>-10.6</v>
      </c>
      <c r="AF147" s="1067"/>
      <c r="AG147" s="1067">
        <v>31</v>
      </c>
      <c r="AH147" s="1067">
        <f>AG147*('Ввод исходных данных'!$D$83-AE147)</f>
        <v>886.6</v>
      </c>
      <c r="AI147" s="1068">
        <v>-13</v>
      </c>
      <c r="AJ147" s="1068"/>
      <c r="AK147" s="1068">
        <v>31</v>
      </c>
      <c r="AL147" s="1068">
        <f>AK147*('Ввод исходных данных'!$D$83-AI147)</f>
        <v>961</v>
      </c>
      <c r="AM147" s="1069">
        <v>-12.1</v>
      </c>
      <c r="AN147" s="1069"/>
      <c r="AO147" s="1069">
        <v>28</v>
      </c>
      <c r="AP147" s="1069">
        <f>AO147*('Ввод исходных данных'!$D$83-AM147)</f>
        <v>842.80000000000007</v>
      </c>
      <c r="AQ147" s="1064">
        <v>-6</v>
      </c>
      <c r="AR147" s="1064"/>
      <c r="AS147" s="1064">
        <f t="shared" si="30"/>
        <v>31</v>
      </c>
      <c r="AT147" s="1064">
        <f>AS147*('Ввод исходных данных'!$D$83-AQ147)</f>
        <v>744</v>
      </c>
      <c r="AU147" s="1070">
        <v>2.9</v>
      </c>
      <c r="AV147" s="1070"/>
      <c r="AW147" s="1070">
        <f t="shared" si="31"/>
        <v>30</v>
      </c>
      <c r="AX147" s="1070">
        <f>AW147*('Ввод исходных данных'!$D$83-AU147)</f>
        <v>453</v>
      </c>
      <c r="AY147" s="1071">
        <v>10.199999999999999</v>
      </c>
      <c r="AZ147" s="1071"/>
      <c r="BA147" s="1071">
        <f t="shared" si="32"/>
        <v>8</v>
      </c>
      <c r="BB147" s="1071">
        <f>BA147*('Ввод исходных данных'!$D$83-AY147)</f>
        <v>62.400000000000006</v>
      </c>
      <c r="BC147" s="1072">
        <v>15.1</v>
      </c>
      <c r="BD147" s="1072"/>
      <c r="BE147" s="1072">
        <f t="shared" si="24"/>
        <v>0</v>
      </c>
      <c r="BF147" s="1073">
        <f>BE147*('Ввод исходных данных'!$D$83-BC147)</f>
        <v>0</v>
      </c>
    </row>
    <row r="148" spans="2:58" ht="15.75" customHeight="1" x14ac:dyDescent="0.25">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2325</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14.399999999999999</v>
      </c>
      <c r="AA148" s="1066">
        <v>6.9</v>
      </c>
      <c r="AB148" s="1066"/>
      <c r="AC148" s="1066">
        <f t="shared" si="29"/>
        <v>30</v>
      </c>
      <c r="AD148" s="1066">
        <f>AC148*('Ввод исходных данных'!$D$83-AA148)</f>
        <v>333</v>
      </c>
      <c r="AE148" s="1067">
        <v>2.2000000000000002</v>
      </c>
      <c r="AF148" s="1067"/>
      <c r="AG148" s="1067">
        <v>31</v>
      </c>
      <c r="AH148" s="1067">
        <f>AG148*('Ввод исходных данных'!$D$83-AE148)</f>
        <v>489.8</v>
      </c>
      <c r="AI148" s="1068">
        <v>0.3</v>
      </c>
      <c r="AJ148" s="1068"/>
      <c r="AK148" s="1068">
        <v>31</v>
      </c>
      <c r="AL148" s="1068">
        <f>AK148*('Ввод исходных данных'!$D$83-AI148)</f>
        <v>548.69999999999993</v>
      </c>
      <c r="AM148" s="1069">
        <v>1.3</v>
      </c>
      <c r="AN148" s="1069"/>
      <c r="AO148" s="1069">
        <v>28</v>
      </c>
      <c r="AP148" s="1069">
        <f>AO148*('Ввод исходных данных'!$D$83-AM148)</f>
        <v>467.59999999999997</v>
      </c>
      <c r="AQ148" s="1064">
        <v>4.2</v>
      </c>
      <c r="AR148" s="1064"/>
      <c r="AS148" s="1064">
        <f t="shared" si="30"/>
        <v>31</v>
      </c>
      <c r="AT148" s="1064">
        <f>AS148*('Ввод исходных данных'!$D$83-AQ148)</f>
        <v>427.8</v>
      </c>
      <c r="AU148" s="1070">
        <v>9.5</v>
      </c>
      <c r="AV148" s="1070"/>
      <c r="AW148" s="1070">
        <f t="shared" si="31"/>
        <v>2</v>
      </c>
      <c r="AX148" s="1070">
        <f>AW148*('Ввод исходных данных'!$D$83-AU148)</f>
        <v>17</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25">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2247.5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321.75</v>
      </c>
      <c r="AE149" s="1067">
        <v>2</v>
      </c>
      <c r="AF149" s="1067"/>
      <c r="AG149" s="1067">
        <v>31</v>
      </c>
      <c r="AH149" s="1067">
        <f>AG149*('Ввод исходных данных'!$D$83-AE149)</f>
        <v>496</v>
      </c>
      <c r="AI149" s="1068">
        <v>-0.2</v>
      </c>
      <c r="AJ149" s="1068"/>
      <c r="AK149" s="1068">
        <v>31</v>
      </c>
      <c r="AL149" s="1068">
        <f>AK149*('Ввод исходных данных'!$D$83-AI149)</f>
        <v>564.19999999999993</v>
      </c>
      <c r="AM149" s="1069">
        <v>1</v>
      </c>
      <c r="AN149" s="1069"/>
      <c r="AO149" s="1069">
        <v>28</v>
      </c>
      <c r="AP149" s="1069">
        <f>AO149*('Ввод исходных данных'!$D$83-AM149)</f>
        <v>476</v>
      </c>
      <c r="AQ149" s="1064">
        <v>5.4</v>
      </c>
      <c r="AR149" s="1064"/>
      <c r="AS149" s="1064">
        <f t="shared" si="30"/>
        <v>27.5</v>
      </c>
      <c r="AT149" s="1064">
        <f>AS149*('Ввод исходных данных'!$D$83-AQ149)</f>
        <v>346.5</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25">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2703</v>
      </c>
      <c r="J150" s="1059" t="str">
        <f t="shared" si="23"/>
        <v>2000-3000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27.6</v>
      </c>
      <c r="AA150" s="1066">
        <v>5.0999999999999996</v>
      </c>
      <c r="AB150" s="1066"/>
      <c r="AC150" s="1066">
        <f t="shared" si="29"/>
        <v>30</v>
      </c>
      <c r="AD150" s="1066">
        <f>AC150*('Ввод исходных данных'!$D$83-AA150)</f>
        <v>387</v>
      </c>
      <c r="AE150" s="1067">
        <v>0.2</v>
      </c>
      <c r="AF150" s="1067"/>
      <c r="AG150" s="1067">
        <v>31</v>
      </c>
      <c r="AH150" s="1067">
        <f>AG150*('Ввод исходных данных'!$D$83-AE150)</f>
        <v>551.80000000000007</v>
      </c>
      <c r="AI150" s="1068">
        <v>-2.5</v>
      </c>
      <c r="AJ150" s="1068"/>
      <c r="AK150" s="1068">
        <v>31</v>
      </c>
      <c r="AL150" s="1068">
        <f>AK150*('Ввод исходных данных'!$D$83-AI150)</f>
        <v>635.5</v>
      </c>
      <c r="AM150" s="1069">
        <v>-2.1</v>
      </c>
      <c r="AN150" s="1069"/>
      <c r="AO150" s="1069">
        <v>28</v>
      </c>
      <c r="AP150" s="1069">
        <f>AO150*('Ввод исходных данных'!$D$83-AM150)</f>
        <v>562.80000000000007</v>
      </c>
      <c r="AQ150" s="1064">
        <v>2.7</v>
      </c>
      <c r="AR150" s="1064"/>
      <c r="AS150" s="1064">
        <f t="shared" si="30"/>
        <v>31</v>
      </c>
      <c r="AT150" s="1064">
        <f>AS150*('Ввод исходных данных'!$D$83-AQ150)</f>
        <v>474.3</v>
      </c>
      <c r="AU150" s="1070">
        <v>10.6</v>
      </c>
      <c r="AV150" s="1070"/>
      <c r="AW150" s="1070">
        <f t="shared" si="31"/>
        <v>4</v>
      </c>
      <c r="AX150" s="1070">
        <f>AW150*('Ввод исходных данных'!$D$83-AU150)</f>
        <v>29.6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25">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1071.6000000000001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13.399999999999999</v>
      </c>
      <c r="AE151" s="1067">
        <v>7.9</v>
      </c>
      <c r="AF151" s="1067"/>
      <c r="AG151" s="1067">
        <v>31</v>
      </c>
      <c r="AH151" s="1067">
        <f>AG151*('Ввод исходных данных'!$D$83-AE151)</f>
        <v>313.09999999999997</v>
      </c>
      <c r="AI151" s="1068">
        <v>6</v>
      </c>
      <c r="AJ151" s="1068"/>
      <c r="AK151" s="1068">
        <v>31</v>
      </c>
      <c r="AL151" s="1068">
        <f>AK151*('Ввод исходных данных'!$D$83-AI151)</f>
        <v>372</v>
      </c>
      <c r="AM151" s="1069">
        <v>6.2</v>
      </c>
      <c r="AN151" s="1069"/>
      <c r="AO151" s="1069">
        <v>28</v>
      </c>
      <c r="AP151" s="1069">
        <f>AO151*('Ввод исходных данных'!$D$83-AM151)</f>
        <v>330.40000000000003</v>
      </c>
      <c r="AQ151" s="1064">
        <v>8.3000000000000007</v>
      </c>
      <c r="AR151" s="1064"/>
      <c r="AS151" s="1064">
        <f t="shared" si="30"/>
        <v>2</v>
      </c>
      <c r="AT151" s="1064">
        <f>AS151*('Ввод исходных данных'!$D$83-AQ151)</f>
        <v>19.399999999999999</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25">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2620.8000000000002</v>
      </c>
      <c r="J152" s="1059" t="str">
        <f t="shared" si="23"/>
        <v>2000-3000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17.5</v>
      </c>
      <c r="AA152" s="1066">
        <v>4.9000000000000004</v>
      </c>
      <c r="AB152" s="1066"/>
      <c r="AC152" s="1066">
        <f t="shared" si="29"/>
        <v>30</v>
      </c>
      <c r="AD152" s="1066">
        <f>AC152*('Ввод исходных данных'!$D$83-AA152)</f>
        <v>393</v>
      </c>
      <c r="AE152" s="1067">
        <v>0.3</v>
      </c>
      <c r="AF152" s="1067"/>
      <c r="AG152" s="1067">
        <v>31</v>
      </c>
      <c r="AH152" s="1067">
        <f>AG152*('Ввод исходных данных'!$D$83-AE152)</f>
        <v>548.69999999999993</v>
      </c>
      <c r="AI152" s="1068">
        <v>-2.2000000000000002</v>
      </c>
      <c r="AJ152" s="1068"/>
      <c r="AK152" s="1068">
        <v>31</v>
      </c>
      <c r="AL152" s="1068">
        <f>AK152*('Ввод исходных данных'!$D$83-AI152)</f>
        <v>626.19999999999993</v>
      </c>
      <c r="AM152" s="1069">
        <v>-1.2</v>
      </c>
      <c r="AN152" s="1069"/>
      <c r="AO152" s="1069">
        <v>28</v>
      </c>
      <c r="AP152" s="1069">
        <f>AO152*('Ввод исходных данных'!$D$83-AM152)</f>
        <v>537.6</v>
      </c>
      <c r="AQ152" s="1064">
        <v>4</v>
      </c>
      <c r="AR152" s="1064"/>
      <c r="AS152" s="1064">
        <f t="shared" si="30"/>
        <v>31</v>
      </c>
      <c r="AT152" s="1064">
        <f>AS152*('Ввод исходных данных'!$D$83-AQ152)</f>
        <v>434</v>
      </c>
      <c r="AU152" s="1070">
        <v>11.7</v>
      </c>
      <c r="AV152" s="1070"/>
      <c r="AW152" s="1070">
        <f t="shared" si="31"/>
        <v>2.5</v>
      </c>
      <c r="AX152" s="1070">
        <f>AW152*('Ввод исходных данных'!$D$83-AU152)</f>
        <v>15.750000000000002</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25">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10132.400000000001</v>
      </c>
      <c r="J153" s="1059" t="str">
        <f t="shared" si="23"/>
        <v>10000-11000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67.45</v>
      </c>
      <c r="S153" s="1064">
        <v>3.8</v>
      </c>
      <c r="T153" s="1064"/>
      <c r="U153" s="1064">
        <f t="shared" si="27"/>
        <v>30</v>
      </c>
      <c r="V153" s="1064">
        <f>U153*('Ввод исходных данных'!$D$83-S153)</f>
        <v>426</v>
      </c>
      <c r="W153" s="1065">
        <v>-7.7</v>
      </c>
      <c r="X153" s="1065"/>
      <c r="Y153" s="1065">
        <f t="shared" si="28"/>
        <v>31</v>
      </c>
      <c r="Z153" s="1065">
        <f>Y153*('Ввод исходных данных'!$D$83-W153)</f>
        <v>796.69999999999993</v>
      </c>
      <c r="AA153" s="1066">
        <v>-24.5</v>
      </c>
      <c r="AB153" s="1066"/>
      <c r="AC153" s="1066">
        <f t="shared" si="29"/>
        <v>30</v>
      </c>
      <c r="AD153" s="1066">
        <f>AC153*('Ввод исходных данных'!$D$83-AA153)</f>
        <v>1275</v>
      </c>
      <c r="AE153" s="1067">
        <v>-31.2</v>
      </c>
      <c r="AF153" s="1067"/>
      <c r="AG153" s="1067">
        <v>31</v>
      </c>
      <c r="AH153" s="1067">
        <f>AG153*('Ввод исходных данных'!$D$83-AE153)</f>
        <v>1525.2</v>
      </c>
      <c r="AI153" s="1068">
        <v>-34.5</v>
      </c>
      <c r="AJ153" s="1068"/>
      <c r="AK153" s="1068">
        <v>31</v>
      </c>
      <c r="AL153" s="1068">
        <f>AK153*('Ввод исходных данных'!$D$83-AI153)</f>
        <v>1627.5</v>
      </c>
      <c r="AM153" s="1069">
        <v>-32.5</v>
      </c>
      <c r="AN153" s="1069"/>
      <c r="AO153" s="1069">
        <v>28</v>
      </c>
      <c r="AP153" s="1069">
        <f>AO153*('Ввод исходных данных'!$D$83-AM153)</f>
        <v>1414</v>
      </c>
      <c r="AQ153" s="1064">
        <v>-21.8</v>
      </c>
      <c r="AR153" s="1064"/>
      <c r="AS153" s="1064">
        <f t="shared" si="30"/>
        <v>31</v>
      </c>
      <c r="AT153" s="1064">
        <f>AS153*('Ввод исходных данных'!$D$83-AQ153)</f>
        <v>1233.8</v>
      </c>
      <c r="AU153" s="1070">
        <v>-11.5</v>
      </c>
      <c r="AV153" s="1070"/>
      <c r="AW153" s="1070">
        <f t="shared" si="31"/>
        <v>30</v>
      </c>
      <c r="AX153" s="1070">
        <f>AW153*('Ввод исходных данных'!$D$83-AU153)</f>
        <v>885</v>
      </c>
      <c r="AY153" s="1071">
        <v>-1.4</v>
      </c>
      <c r="AZ153" s="1071"/>
      <c r="BA153" s="1071">
        <f t="shared" si="32"/>
        <v>31</v>
      </c>
      <c r="BB153" s="1071">
        <f>BA153*('Ввод исходных данных'!$D$83-AY153)</f>
        <v>601.4</v>
      </c>
      <c r="BC153" s="1072">
        <v>8.1</v>
      </c>
      <c r="BD153" s="1072"/>
      <c r="BE153" s="1072">
        <f t="shared" si="24"/>
        <v>9.5</v>
      </c>
      <c r="BF153" s="1073">
        <f>BE153*('Ввод исходных данных'!$D$83-BC153)</f>
        <v>94.05</v>
      </c>
    </row>
    <row r="154" spans="2:58" ht="15.75" customHeight="1" x14ac:dyDescent="0.25">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5800</v>
      </c>
      <c r="J154" s="1059" t="str">
        <f t="shared" si="23"/>
        <v>5000-6000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89</v>
      </c>
      <c r="W154" s="1065">
        <v>1.3</v>
      </c>
      <c r="X154" s="1065"/>
      <c r="Y154" s="1065">
        <f t="shared" si="28"/>
        <v>31</v>
      </c>
      <c r="Z154" s="1065">
        <f>Y154*('Ввод исходных данных'!$D$83-W154)</f>
        <v>517.69999999999993</v>
      </c>
      <c r="AA154" s="1066">
        <v>-7.8</v>
      </c>
      <c r="AB154" s="1066"/>
      <c r="AC154" s="1066">
        <f t="shared" si="29"/>
        <v>30</v>
      </c>
      <c r="AD154" s="1066">
        <f>AC154*('Ввод исходных данных'!$D$83-AA154)</f>
        <v>774</v>
      </c>
      <c r="AE154" s="1067">
        <v>-13.7</v>
      </c>
      <c r="AF154" s="1067"/>
      <c r="AG154" s="1067">
        <v>31</v>
      </c>
      <c r="AH154" s="1067">
        <f>AG154*('Ввод исходных данных'!$D$83-AE154)</f>
        <v>982.69999999999993</v>
      </c>
      <c r="AI154" s="1068">
        <v>-16.100000000000001</v>
      </c>
      <c r="AJ154" s="1068"/>
      <c r="AK154" s="1068">
        <v>31</v>
      </c>
      <c r="AL154" s="1068">
        <f>AK154*('Ввод исходных данных'!$D$83-AI154)</f>
        <v>1057.1000000000001</v>
      </c>
      <c r="AM154" s="1069">
        <v>-14</v>
      </c>
      <c r="AN154" s="1069"/>
      <c r="AO154" s="1069">
        <v>28</v>
      </c>
      <c r="AP154" s="1069">
        <f>AO154*('Ввод исходных данных'!$D$83-AM154)</f>
        <v>896</v>
      </c>
      <c r="AQ154" s="1064">
        <v>-6.7</v>
      </c>
      <c r="AR154" s="1064"/>
      <c r="AS154" s="1064">
        <f t="shared" si="30"/>
        <v>31</v>
      </c>
      <c r="AT154" s="1064">
        <f>AS154*('Ввод исходных данных'!$D$83-AQ154)</f>
        <v>765.69999999999993</v>
      </c>
      <c r="AU154" s="1070">
        <v>1.3</v>
      </c>
      <c r="AV154" s="1070"/>
      <c r="AW154" s="1070">
        <f t="shared" si="31"/>
        <v>30</v>
      </c>
      <c r="AX154" s="1070">
        <f>AW154*('Ввод исходных данных'!$D$83-AU154)</f>
        <v>501</v>
      </c>
      <c r="AY154" s="1071">
        <v>9.6</v>
      </c>
      <c r="AZ154" s="1071"/>
      <c r="BA154" s="1071">
        <f t="shared" si="32"/>
        <v>10</v>
      </c>
      <c r="BB154" s="1071">
        <f>BA154*('Ввод исходных данных'!$D$83-AY154)</f>
        <v>84</v>
      </c>
      <c r="BC154" s="1072">
        <v>15.9</v>
      </c>
      <c r="BD154" s="1072"/>
      <c r="BE154" s="1072">
        <f t="shared" si="24"/>
        <v>0</v>
      </c>
      <c r="BF154" s="1073">
        <f>BE154*('Ввод исходных данных'!$D$83-BC154)</f>
        <v>0</v>
      </c>
    </row>
    <row r="155" spans="2:58" ht="15.75" customHeight="1" x14ac:dyDescent="0.25">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8538.6</v>
      </c>
      <c r="J155" s="1059" t="str">
        <f t="shared" si="23"/>
        <v>8000-9000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342.9</v>
      </c>
      <c r="W155" s="1065">
        <v>-5</v>
      </c>
      <c r="X155" s="1065"/>
      <c r="Y155" s="1065">
        <f t="shared" si="28"/>
        <v>31</v>
      </c>
      <c r="Z155" s="1065">
        <f>Y155*('Ввод исходных данных'!$D$83-W155)</f>
        <v>713</v>
      </c>
      <c r="AA155" s="1066">
        <v>-19.399999999999999</v>
      </c>
      <c r="AB155" s="1066"/>
      <c r="AC155" s="1066">
        <f t="shared" si="29"/>
        <v>30</v>
      </c>
      <c r="AD155" s="1066">
        <f>AC155*('Ввод исходных данных'!$D$83-AA155)</f>
        <v>1122</v>
      </c>
      <c r="AE155" s="1067">
        <v>-28.4</v>
      </c>
      <c r="AF155" s="1067"/>
      <c r="AG155" s="1067">
        <v>31</v>
      </c>
      <c r="AH155" s="1067">
        <f>AG155*('Ввод исходных данных'!$D$83-AE155)</f>
        <v>1438.3999999999999</v>
      </c>
      <c r="AI155" s="1068">
        <v>-30.5</v>
      </c>
      <c r="AJ155" s="1068"/>
      <c r="AK155" s="1068">
        <v>31</v>
      </c>
      <c r="AL155" s="1068">
        <f>AK155*('Ввод исходных данных'!$D$83-AI155)</f>
        <v>1503.5</v>
      </c>
      <c r="AM155" s="1069">
        <v>-26.1</v>
      </c>
      <c r="AN155" s="1069"/>
      <c r="AO155" s="1069">
        <v>28</v>
      </c>
      <c r="AP155" s="1069">
        <f>AO155*('Ввод исходных данных'!$D$83-AM155)</f>
        <v>1234.8</v>
      </c>
      <c r="AQ155" s="1064">
        <v>-13.8</v>
      </c>
      <c r="AR155" s="1064"/>
      <c r="AS155" s="1064">
        <f t="shared" si="30"/>
        <v>31</v>
      </c>
      <c r="AT155" s="1064">
        <f>AS155*('Ввод исходных данных'!$D$83-AQ155)</f>
        <v>985.80000000000007</v>
      </c>
      <c r="AU155" s="1070">
        <v>-4.0999999999999996</v>
      </c>
      <c r="AV155" s="1070"/>
      <c r="AW155" s="1070">
        <f t="shared" si="31"/>
        <v>30</v>
      </c>
      <c r="AX155" s="1070">
        <f>AW155*('Ввод исходных данных'!$D$83-AU155)</f>
        <v>663</v>
      </c>
      <c r="AY155" s="1071">
        <v>4.3</v>
      </c>
      <c r="AZ155" s="1071"/>
      <c r="BA155" s="1071">
        <f t="shared" si="32"/>
        <v>27</v>
      </c>
      <c r="BB155" s="1071">
        <f>BA155*('Ввод исходных данных'!$D$83-AY155)</f>
        <v>369.9</v>
      </c>
      <c r="BC155" s="1072">
        <v>13.2</v>
      </c>
      <c r="BD155" s="1072"/>
      <c r="BE155" s="1072">
        <f t="shared" si="24"/>
        <v>0</v>
      </c>
      <c r="BF155" s="1073">
        <f>BE155*('Ввод исходных данных'!$D$83-BC155)</f>
        <v>0</v>
      </c>
    </row>
    <row r="156" spans="2:58" ht="15.75" customHeight="1" x14ac:dyDescent="0.25">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6118.4000000000005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125.55000000000001</v>
      </c>
      <c r="W156" s="1065">
        <v>0.8</v>
      </c>
      <c r="X156" s="1065"/>
      <c r="Y156" s="1065">
        <f t="shared" si="28"/>
        <v>31</v>
      </c>
      <c r="Z156" s="1065">
        <f>Y156*('Ввод исходных данных'!$D$83-W156)</f>
        <v>533.19999999999993</v>
      </c>
      <c r="AA156" s="1066">
        <v>-9.6999999999999993</v>
      </c>
      <c r="AB156" s="1066"/>
      <c r="AC156" s="1066">
        <f t="shared" si="29"/>
        <v>30</v>
      </c>
      <c r="AD156" s="1066">
        <f>AC156*('Ввод исходных данных'!$D$83-AA156)</f>
        <v>831</v>
      </c>
      <c r="AE156" s="1067">
        <v>-16.399999999999999</v>
      </c>
      <c r="AF156" s="1067"/>
      <c r="AG156" s="1067">
        <v>31</v>
      </c>
      <c r="AH156" s="1067">
        <f>AG156*('Ввод исходных данных'!$D$83-AE156)</f>
        <v>1066.3999999999999</v>
      </c>
      <c r="AI156" s="1068">
        <v>-17.399999999999999</v>
      </c>
      <c r="AJ156" s="1068"/>
      <c r="AK156" s="1068">
        <v>31</v>
      </c>
      <c r="AL156" s="1068">
        <f>AK156*('Ввод исходных данных'!$D$83-AI156)</f>
        <v>1097.3999999999999</v>
      </c>
      <c r="AM156" s="1069">
        <v>-16</v>
      </c>
      <c r="AN156" s="1069"/>
      <c r="AO156" s="1069">
        <v>28</v>
      </c>
      <c r="AP156" s="1069">
        <f>AO156*('Ввод исходных данных'!$D$83-AM156)</f>
        <v>952</v>
      </c>
      <c r="AQ156" s="1064">
        <v>-9.1</v>
      </c>
      <c r="AR156" s="1064"/>
      <c r="AS156" s="1064">
        <f t="shared" si="30"/>
        <v>31</v>
      </c>
      <c r="AT156" s="1064">
        <f>AS156*('Ввод исходных данных'!$D$83-AQ156)</f>
        <v>840.1</v>
      </c>
      <c r="AU156" s="1070">
        <v>0.2</v>
      </c>
      <c r="AV156" s="1070"/>
      <c r="AW156" s="1070">
        <f t="shared" si="31"/>
        <v>30</v>
      </c>
      <c r="AX156" s="1070">
        <f>AW156*('Ввод исходных данных'!$D$83-AU156)</f>
        <v>534</v>
      </c>
      <c r="AY156" s="1071">
        <v>8.1</v>
      </c>
      <c r="AZ156" s="1071"/>
      <c r="BA156" s="1071">
        <f t="shared" si="32"/>
        <v>13.5</v>
      </c>
      <c r="BB156" s="1071">
        <f>BA156*('Ввод исходных данных'!$D$83-AY156)</f>
        <v>133.65</v>
      </c>
      <c r="BC156" s="1072">
        <v>15.3</v>
      </c>
      <c r="BD156" s="1072"/>
      <c r="BE156" s="1072">
        <f t="shared" si="24"/>
        <v>0</v>
      </c>
      <c r="BF156" s="1073">
        <f>BE156*('Ввод исходных данных'!$D$83-BC156)</f>
        <v>0</v>
      </c>
    </row>
    <row r="157" spans="2:58" ht="15.75" customHeight="1" x14ac:dyDescent="0.25">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7002.8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160</v>
      </c>
      <c r="W157" s="1065">
        <v>-0.6</v>
      </c>
      <c r="X157" s="1065"/>
      <c r="Y157" s="1065">
        <f t="shared" si="28"/>
        <v>31</v>
      </c>
      <c r="Z157" s="1065">
        <f>Y157*('Ввод исходных данных'!$D$83-W157)</f>
        <v>576.6</v>
      </c>
      <c r="AA157" s="1066">
        <v>-11.8</v>
      </c>
      <c r="AB157" s="1066"/>
      <c r="AC157" s="1066">
        <f t="shared" si="29"/>
        <v>30</v>
      </c>
      <c r="AD157" s="1066">
        <f>AC157*('Ввод исходных данных'!$D$83-AA157)</f>
        <v>894</v>
      </c>
      <c r="AE157" s="1067">
        <v>-21.1</v>
      </c>
      <c r="AF157" s="1067"/>
      <c r="AG157" s="1067">
        <v>31</v>
      </c>
      <c r="AH157" s="1067">
        <f>AG157*('Ввод исходных данных'!$D$83-AE157)</f>
        <v>1212.1000000000001</v>
      </c>
      <c r="AI157" s="1068">
        <v>-23.8</v>
      </c>
      <c r="AJ157" s="1068"/>
      <c r="AK157" s="1068">
        <v>31</v>
      </c>
      <c r="AL157" s="1068">
        <f>AK157*('Ввод исходных данных'!$D$83-AI157)</f>
        <v>1295.8</v>
      </c>
      <c r="AM157" s="1069">
        <v>-21.2</v>
      </c>
      <c r="AN157" s="1069"/>
      <c r="AO157" s="1069">
        <v>28</v>
      </c>
      <c r="AP157" s="1069">
        <f>AO157*('Ввод исходных данных'!$D$83-AM157)</f>
        <v>1097.6000000000001</v>
      </c>
      <c r="AQ157" s="1064">
        <v>-10.4</v>
      </c>
      <c r="AR157" s="1064"/>
      <c r="AS157" s="1064">
        <f t="shared" si="30"/>
        <v>31</v>
      </c>
      <c r="AT157" s="1064">
        <f>AS157*('Ввод исходных данных'!$D$83-AQ157)</f>
        <v>880.4</v>
      </c>
      <c r="AU157" s="1070">
        <v>-0.2</v>
      </c>
      <c r="AV157" s="1070"/>
      <c r="AW157" s="1070">
        <f t="shared" si="31"/>
        <v>30</v>
      </c>
      <c r="AX157" s="1070">
        <f>AW157*('Ввод исходных данных'!$D$83-AU157)</f>
        <v>546</v>
      </c>
      <c r="AY157" s="1071">
        <v>7.8</v>
      </c>
      <c r="AZ157" s="1071"/>
      <c r="BA157" s="1071">
        <f t="shared" si="32"/>
        <v>16</v>
      </c>
      <c r="BB157" s="1071">
        <f>BA157*('Ввод исходных данных'!$D$83-AY157)</f>
        <v>163.19999999999999</v>
      </c>
      <c r="BC157" s="1072">
        <v>15.9</v>
      </c>
      <c r="BD157" s="1072"/>
      <c r="BE157" s="1072">
        <f t="shared" si="24"/>
        <v>0</v>
      </c>
      <c r="BF157" s="1073">
        <f>BE157*('Ввод исходных данных'!$D$83-BC157)</f>
        <v>0</v>
      </c>
    </row>
    <row r="158" spans="2:58" ht="15.75" customHeight="1" x14ac:dyDescent="0.25">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8320</v>
      </c>
      <c r="J158" s="1059" t="str">
        <f t="shared" si="23"/>
        <v>8000-9000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300</v>
      </c>
      <c r="W158" s="1065">
        <v>-4.5</v>
      </c>
      <c r="X158" s="1065"/>
      <c r="Y158" s="1065">
        <f t="shared" si="28"/>
        <v>31</v>
      </c>
      <c r="Z158" s="1065">
        <f>Y158*('Ввод исходных данных'!$D$83-W158)</f>
        <v>697.5</v>
      </c>
      <c r="AA158" s="1066">
        <v>-18.5</v>
      </c>
      <c r="AB158" s="1066"/>
      <c r="AC158" s="1066">
        <f t="shared" si="29"/>
        <v>30</v>
      </c>
      <c r="AD158" s="1066">
        <f>AC158*('Ввод исходных данных'!$D$83-AA158)</f>
        <v>1095</v>
      </c>
      <c r="AE158" s="1067">
        <v>-27.4</v>
      </c>
      <c r="AF158" s="1067"/>
      <c r="AG158" s="1067">
        <v>31</v>
      </c>
      <c r="AH158" s="1067">
        <f>AG158*('Ввод исходных данных'!$D$83-AE158)</f>
        <v>1407.3999999999999</v>
      </c>
      <c r="AI158" s="1068">
        <v>-29.4</v>
      </c>
      <c r="AJ158" s="1068"/>
      <c r="AK158" s="1068">
        <v>31</v>
      </c>
      <c r="AL158" s="1068">
        <f>AK158*('Ввод исходных данных'!$D$83-AI158)</f>
        <v>1469.3999999999999</v>
      </c>
      <c r="AM158" s="1069">
        <v>-25.9</v>
      </c>
      <c r="AN158" s="1069"/>
      <c r="AO158" s="1069">
        <v>28</v>
      </c>
      <c r="AP158" s="1069">
        <f>AO158*('Ввод исходных данных'!$D$83-AM158)</f>
        <v>1229.2</v>
      </c>
      <c r="AQ158" s="1064">
        <v>-14.5</v>
      </c>
      <c r="AR158" s="1064"/>
      <c r="AS158" s="1064">
        <f t="shared" si="30"/>
        <v>31</v>
      </c>
      <c r="AT158" s="1064">
        <f>AS158*('Ввод исходных данных'!$D$83-AQ158)</f>
        <v>1007.5</v>
      </c>
      <c r="AU158" s="1070">
        <v>-3.6</v>
      </c>
      <c r="AV158" s="1070"/>
      <c r="AW158" s="1070">
        <f t="shared" si="31"/>
        <v>30</v>
      </c>
      <c r="AX158" s="1070">
        <f>AW158*('Ввод исходных данных'!$D$83-AU158)</f>
        <v>648</v>
      </c>
      <c r="AY158" s="1071">
        <v>5.8</v>
      </c>
      <c r="AZ158" s="1071"/>
      <c r="BA158" s="1071">
        <f t="shared" si="32"/>
        <v>24</v>
      </c>
      <c r="BB158" s="1071">
        <f>BA158*('Ввод исходных данных'!$D$83-AY158)</f>
        <v>292.79999999999995</v>
      </c>
      <c r="BC158" s="1072">
        <v>14.3</v>
      </c>
      <c r="BD158" s="1072"/>
      <c r="BE158" s="1072">
        <f t="shared" si="24"/>
        <v>0</v>
      </c>
      <c r="BF158" s="1073">
        <f>BE158*('Ввод исходных данных'!$D$83-BC158)</f>
        <v>0</v>
      </c>
    </row>
    <row r="159" spans="2:58" ht="15.75" customHeight="1" x14ac:dyDescent="0.25">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8052</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309.40000000000003</v>
      </c>
      <c r="W159" s="1065">
        <v>-3.7</v>
      </c>
      <c r="X159" s="1065"/>
      <c r="Y159" s="1065">
        <f t="shared" si="28"/>
        <v>31</v>
      </c>
      <c r="Z159" s="1065">
        <f>Y159*('Ввод исходных данных'!$D$83-W159)</f>
        <v>672.69999999999993</v>
      </c>
      <c r="AA159" s="1066">
        <v>-18.100000000000001</v>
      </c>
      <c r="AB159" s="1066"/>
      <c r="AC159" s="1066">
        <f t="shared" si="29"/>
        <v>30</v>
      </c>
      <c r="AD159" s="1066">
        <f>AC159*('Ввод исходных данных'!$D$83-AA159)</f>
        <v>1083</v>
      </c>
      <c r="AE159" s="1067">
        <v>-26.5</v>
      </c>
      <c r="AF159" s="1067"/>
      <c r="AG159" s="1067">
        <v>31</v>
      </c>
      <c r="AH159" s="1067">
        <f>AG159*('Ввод исходных данных'!$D$83-AE159)</f>
        <v>1379.5</v>
      </c>
      <c r="AI159" s="1068">
        <v>-27.6</v>
      </c>
      <c r="AJ159" s="1068"/>
      <c r="AK159" s="1068">
        <v>31</v>
      </c>
      <c r="AL159" s="1068">
        <f>AK159*('Ввод исходных данных'!$D$83-AI159)</f>
        <v>1413.6000000000001</v>
      </c>
      <c r="AM159" s="1069">
        <v>-24.8</v>
      </c>
      <c r="AN159" s="1069"/>
      <c r="AO159" s="1069">
        <v>28</v>
      </c>
      <c r="AP159" s="1069">
        <f>AO159*('Ввод исходных данных'!$D$83-AM159)</f>
        <v>1198.3999999999999</v>
      </c>
      <c r="AQ159" s="1064">
        <v>-14.8</v>
      </c>
      <c r="AR159" s="1064"/>
      <c r="AS159" s="1064">
        <f t="shared" si="30"/>
        <v>31</v>
      </c>
      <c r="AT159" s="1064">
        <f>AS159*('Ввод исходных данных'!$D$83-AQ159)</f>
        <v>1016.8</v>
      </c>
      <c r="AU159" s="1070">
        <v>-3.7</v>
      </c>
      <c r="AV159" s="1070"/>
      <c r="AW159" s="1070">
        <f t="shared" si="31"/>
        <v>30</v>
      </c>
      <c r="AX159" s="1070">
        <f>AW159*('Ввод исходных данных'!$D$83-AU159)</f>
        <v>651</v>
      </c>
      <c r="AY159" s="1071">
        <v>4.3</v>
      </c>
      <c r="AZ159" s="1071"/>
      <c r="BA159" s="1071">
        <f t="shared" si="32"/>
        <v>26</v>
      </c>
      <c r="BB159" s="1071">
        <f>BA159*('Ввод исходных данных'!$D$83-AY159)</f>
        <v>356.2</v>
      </c>
      <c r="BC159" s="1072">
        <v>13.1</v>
      </c>
      <c r="BD159" s="1072"/>
      <c r="BE159" s="1072">
        <f t="shared" si="24"/>
        <v>0</v>
      </c>
      <c r="BF159" s="1073">
        <f>BE159*('Ввод исходных данных'!$D$83-BC159)</f>
        <v>0</v>
      </c>
    </row>
    <row r="160" spans="2:58" ht="15.75" customHeight="1" x14ac:dyDescent="0.25">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7870.5</v>
      </c>
      <c r="J160" s="1059" t="str">
        <f t="shared" si="23"/>
        <v>7000-8000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307.39999999999998</v>
      </c>
      <c r="W160" s="1065">
        <v>-3.5</v>
      </c>
      <c r="X160" s="1065"/>
      <c r="Y160" s="1065">
        <f t="shared" si="28"/>
        <v>31</v>
      </c>
      <c r="Z160" s="1065">
        <f>Y160*('Ввод исходных данных'!$D$83-W160)</f>
        <v>666.5</v>
      </c>
      <c r="AA160" s="1066">
        <v>-16</v>
      </c>
      <c r="AB160" s="1066"/>
      <c r="AC160" s="1066">
        <f t="shared" si="29"/>
        <v>30</v>
      </c>
      <c r="AD160" s="1066">
        <f>AC160*('Ввод исходных данных'!$D$83-AA160)</f>
        <v>1020</v>
      </c>
      <c r="AE160" s="1067">
        <v>-22.5</v>
      </c>
      <c r="AF160" s="1067"/>
      <c r="AG160" s="1067">
        <v>31</v>
      </c>
      <c r="AH160" s="1067">
        <f>AG160*('Ввод исходных данных'!$D$83-AE160)</f>
        <v>1255.5</v>
      </c>
      <c r="AI160" s="1068">
        <v>-24.7</v>
      </c>
      <c r="AJ160" s="1068"/>
      <c r="AK160" s="1068">
        <v>31</v>
      </c>
      <c r="AL160" s="1068">
        <f>AK160*('Ввод исходных данных'!$D$83-AI160)</f>
        <v>1323.7</v>
      </c>
      <c r="AM160" s="1069">
        <v>-22</v>
      </c>
      <c r="AN160" s="1069"/>
      <c r="AO160" s="1069">
        <v>28</v>
      </c>
      <c r="AP160" s="1069">
        <f>AO160*('Ввод исходных данных'!$D$83-AM160)</f>
        <v>1120</v>
      </c>
      <c r="AQ160" s="1064">
        <v>-12.8</v>
      </c>
      <c r="AR160" s="1064"/>
      <c r="AS160" s="1064">
        <f t="shared" si="30"/>
        <v>31</v>
      </c>
      <c r="AT160" s="1064">
        <f>AS160*('Ввод исходных данных'!$D$83-AQ160)</f>
        <v>954.80000000000007</v>
      </c>
      <c r="AU160" s="1070">
        <v>-4.9000000000000004</v>
      </c>
      <c r="AV160" s="1070"/>
      <c r="AW160" s="1070">
        <f t="shared" si="31"/>
        <v>30</v>
      </c>
      <c r="AX160" s="1070">
        <f>AW160*('Ввод исходных данных'!$D$83-AU160)</f>
        <v>687</v>
      </c>
      <c r="AY160" s="1071">
        <v>3.3</v>
      </c>
      <c r="AZ160" s="1071"/>
      <c r="BA160" s="1071">
        <f t="shared" si="32"/>
        <v>26.5</v>
      </c>
      <c r="BB160" s="1071">
        <f>BA160*('Ввод исходных данных'!$D$83-AY160)</f>
        <v>389.54999999999995</v>
      </c>
      <c r="BC160" s="1072">
        <v>12.9</v>
      </c>
      <c r="BD160" s="1072"/>
      <c r="BE160" s="1072">
        <f t="shared" si="24"/>
        <v>0</v>
      </c>
      <c r="BF160" s="1073">
        <f>BE160*('Ввод исходных данных'!$D$83-BC160)</f>
        <v>0</v>
      </c>
    </row>
    <row r="161" spans="2:58" ht="15.75" customHeight="1" x14ac:dyDescent="0.25">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10500</v>
      </c>
      <c r="J161" s="1059" t="str">
        <f t="shared" si="23"/>
        <v>10000-11000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110.69999999999999</v>
      </c>
      <c r="S161" s="1064">
        <v>2.2999999999999998</v>
      </c>
      <c r="T161" s="1064"/>
      <c r="U161" s="1064">
        <f t="shared" si="27"/>
        <v>30</v>
      </c>
      <c r="V161" s="1064">
        <f>U161*('Ввод исходных данных'!$D$83-S161)</f>
        <v>471</v>
      </c>
      <c r="W161" s="1065">
        <v>-11.5</v>
      </c>
      <c r="X161" s="1065"/>
      <c r="Y161" s="1065">
        <f t="shared" si="28"/>
        <v>31</v>
      </c>
      <c r="Z161" s="1065">
        <f>Y161*('Ввод исходных данных'!$D$83-W161)</f>
        <v>914.5</v>
      </c>
      <c r="AA161" s="1066">
        <v>-23.7</v>
      </c>
      <c r="AB161" s="1066"/>
      <c r="AC161" s="1066">
        <f t="shared" si="29"/>
        <v>30</v>
      </c>
      <c r="AD161" s="1066">
        <f>AC161*('Ввод исходных данных'!$D$83-AA161)</f>
        <v>1251</v>
      </c>
      <c r="AE161" s="1067">
        <v>-27.8</v>
      </c>
      <c r="AF161" s="1067"/>
      <c r="AG161" s="1067">
        <v>31</v>
      </c>
      <c r="AH161" s="1067">
        <f>AG161*('Ввод исходных данных'!$D$83-AE161)</f>
        <v>1419.8</v>
      </c>
      <c r="AI161" s="1068">
        <v>-31</v>
      </c>
      <c r="AJ161" s="1068"/>
      <c r="AK161" s="1068">
        <v>31</v>
      </c>
      <c r="AL161" s="1068">
        <f>AK161*('Ввод исходных данных'!$D$83-AI161)</f>
        <v>1519</v>
      </c>
      <c r="AM161" s="1069">
        <v>-30.6</v>
      </c>
      <c r="AN161" s="1069"/>
      <c r="AO161" s="1069">
        <v>28</v>
      </c>
      <c r="AP161" s="1069">
        <f>AO161*('Ввод исходных данных'!$D$83-AM161)</f>
        <v>1360.8</v>
      </c>
      <c r="AQ161" s="1064">
        <v>-24.5</v>
      </c>
      <c r="AR161" s="1064"/>
      <c r="AS161" s="1064">
        <f t="shared" si="30"/>
        <v>31</v>
      </c>
      <c r="AT161" s="1064">
        <f>AS161*('Ввод исходных данных'!$D$83-AQ161)</f>
        <v>1317.5</v>
      </c>
      <c r="AU161" s="1070">
        <v>-16</v>
      </c>
      <c r="AV161" s="1070"/>
      <c r="AW161" s="1070">
        <f t="shared" si="31"/>
        <v>30</v>
      </c>
      <c r="AX161" s="1070">
        <f>AW161*('Ввод исходных данных'!$D$83-AU161)</f>
        <v>1020</v>
      </c>
      <c r="AY161" s="1071">
        <v>-5.9</v>
      </c>
      <c r="AZ161" s="1071"/>
      <c r="BA161" s="1071">
        <f t="shared" si="32"/>
        <v>31</v>
      </c>
      <c r="BB161" s="1071">
        <f>BA161*('Ввод исходных данных'!$D$83-AY161)</f>
        <v>740.9</v>
      </c>
      <c r="BC161" s="1072">
        <v>5.7</v>
      </c>
      <c r="BD161" s="1072"/>
      <c r="BE161" s="1072">
        <f t="shared" si="24"/>
        <v>13.5</v>
      </c>
      <c r="BF161" s="1073">
        <f>BE161*('Ввод исходных данных'!$D$83-BC161)</f>
        <v>166.05</v>
      </c>
    </row>
    <row r="162" spans="2:58" ht="15.75" customHeight="1" x14ac:dyDescent="0.25">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10767.5</v>
      </c>
      <c r="J162" s="1059" t="str">
        <f t="shared" si="23"/>
        <v>10000-11000</v>
      </c>
      <c r="K162" s="1060">
        <v>4.5</v>
      </c>
      <c r="L162" s="1060"/>
      <c r="M162" s="1061">
        <f t="shared" si="25"/>
        <v>31</v>
      </c>
      <c r="N162" s="1062">
        <f>M162*('Ввод исходных данных'!$D$83-K162)</f>
        <v>418.5</v>
      </c>
      <c r="O162" s="1063">
        <v>4.9000000000000004</v>
      </c>
      <c r="P162" s="1063"/>
      <c r="Q162" s="1063">
        <f t="shared" si="26"/>
        <v>31</v>
      </c>
      <c r="R162" s="1063">
        <f>Q162*('Ввод исходных данных'!$D$83-O162)</f>
        <v>406.09999999999997</v>
      </c>
      <c r="S162" s="1064">
        <v>1.3</v>
      </c>
      <c r="T162" s="1064"/>
      <c r="U162" s="1064">
        <f t="shared" si="27"/>
        <v>30</v>
      </c>
      <c r="V162" s="1064">
        <f>U162*('Ввод исходных данных'!$D$83-S162)</f>
        <v>501</v>
      </c>
      <c r="W162" s="1065">
        <v>-8.3000000000000007</v>
      </c>
      <c r="X162" s="1065"/>
      <c r="Y162" s="1065">
        <f t="shared" si="28"/>
        <v>31</v>
      </c>
      <c r="Z162" s="1065">
        <f>Y162*('Ввод исходных данных'!$D$83-W162)</f>
        <v>815.30000000000007</v>
      </c>
      <c r="AA162" s="1066">
        <v>-17.899999999999999</v>
      </c>
      <c r="AB162" s="1066"/>
      <c r="AC162" s="1066">
        <f t="shared" si="29"/>
        <v>30</v>
      </c>
      <c r="AD162" s="1066">
        <f>AC162*('Ввод исходных данных'!$D$83-AA162)</f>
        <v>1077</v>
      </c>
      <c r="AE162" s="1067">
        <v>-22.6</v>
      </c>
      <c r="AF162" s="1067"/>
      <c r="AG162" s="1067">
        <v>31</v>
      </c>
      <c r="AH162" s="1067">
        <f>AG162*('Ввод исходных данных'!$D$83-AE162)</f>
        <v>1258.6000000000001</v>
      </c>
      <c r="AI162" s="1068">
        <v>-25.9</v>
      </c>
      <c r="AJ162" s="1068"/>
      <c r="AK162" s="1068">
        <v>31</v>
      </c>
      <c r="AL162" s="1068">
        <f>AK162*('Ввод исходных данных'!$D$83-AI162)</f>
        <v>1360.8999999999999</v>
      </c>
      <c r="AM162" s="1069">
        <v>-25.9</v>
      </c>
      <c r="AN162" s="1069"/>
      <c r="AO162" s="1069">
        <v>28</v>
      </c>
      <c r="AP162" s="1069">
        <f>AO162*('Ввод исходных данных'!$D$83-AM162)</f>
        <v>1229.2</v>
      </c>
      <c r="AQ162" s="1064">
        <v>-22.9</v>
      </c>
      <c r="AR162" s="1064"/>
      <c r="AS162" s="1064">
        <f t="shared" si="30"/>
        <v>31</v>
      </c>
      <c r="AT162" s="1064">
        <f>AS162*('Ввод исходных данных'!$D$83-AQ162)</f>
        <v>1267.8999999999999</v>
      </c>
      <c r="AU162" s="1070">
        <v>-17.5</v>
      </c>
      <c r="AV162" s="1070"/>
      <c r="AW162" s="1070">
        <f t="shared" si="31"/>
        <v>30</v>
      </c>
      <c r="AX162" s="1070">
        <f>AW162*('Ввод исходных данных'!$D$83-AU162)</f>
        <v>1065</v>
      </c>
      <c r="AY162" s="1071">
        <v>-8.3000000000000007</v>
      </c>
      <c r="AZ162" s="1071"/>
      <c r="BA162" s="1071">
        <f t="shared" si="32"/>
        <v>31</v>
      </c>
      <c r="BB162" s="1071">
        <f>BA162*('Ввод исходных данных'!$D$83-AY162)</f>
        <v>815.30000000000007</v>
      </c>
      <c r="BC162" s="1072">
        <v>0</v>
      </c>
      <c r="BD162" s="1072"/>
      <c r="BE162" s="1072">
        <f t="shared" si="24"/>
        <v>30</v>
      </c>
      <c r="BF162" s="1073">
        <f>BE162*('Ввод исходных данных'!$D$83-BC162)</f>
        <v>540</v>
      </c>
    </row>
    <row r="163" spans="2:58" ht="15.75" customHeight="1" x14ac:dyDescent="0.25">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9827.2000000000007</v>
      </c>
      <c r="J163" s="1059" t="str">
        <f t="shared" si="23"/>
        <v>9000-10000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81.649999999999991</v>
      </c>
      <c r="S163" s="1064">
        <v>3.8</v>
      </c>
      <c r="T163" s="1064"/>
      <c r="U163" s="1064">
        <f t="shared" si="27"/>
        <v>30</v>
      </c>
      <c r="V163" s="1064">
        <f>U163*('Ввод исходных данных'!$D$83-S163)</f>
        <v>426</v>
      </c>
      <c r="W163" s="1065">
        <v>-8.5</v>
      </c>
      <c r="X163" s="1065"/>
      <c r="Y163" s="1065">
        <f t="shared" si="28"/>
        <v>31</v>
      </c>
      <c r="Z163" s="1065">
        <f>Y163*('Ввод исходных данных'!$D$83-W163)</f>
        <v>821.5</v>
      </c>
      <c r="AA163" s="1066">
        <v>-20.6</v>
      </c>
      <c r="AB163" s="1066"/>
      <c r="AC163" s="1066">
        <f t="shared" si="29"/>
        <v>30</v>
      </c>
      <c r="AD163" s="1066">
        <f>AC163*('Ввод исходных данных'!$D$83-AA163)</f>
        <v>1158</v>
      </c>
      <c r="AE163" s="1067">
        <v>-24.9</v>
      </c>
      <c r="AF163" s="1067"/>
      <c r="AG163" s="1067">
        <v>31</v>
      </c>
      <c r="AH163" s="1067">
        <f>AG163*('Ввод исходных данных'!$D$83-AE163)</f>
        <v>1329.8999999999999</v>
      </c>
      <c r="AI163" s="1068">
        <v>-28.2</v>
      </c>
      <c r="AJ163" s="1068"/>
      <c r="AK163" s="1068">
        <v>31</v>
      </c>
      <c r="AL163" s="1068">
        <f>AK163*('Ввод исходных данных'!$D$83-AI163)</f>
        <v>1432.2</v>
      </c>
      <c r="AM163" s="1069">
        <v>-27.3</v>
      </c>
      <c r="AN163" s="1069"/>
      <c r="AO163" s="1069">
        <v>28</v>
      </c>
      <c r="AP163" s="1069">
        <f>AO163*('Ввод исходных данных'!$D$83-AM163)</f>
        <v>1268.3999999999999</v>
      </c>
      <c r="AQ163" s="1064">
        <v>-21.9</v>
      </c>
      <c r="AR163" s="1064"/>
      <c r="AS163" s="1064">
        <f t="shared" si="30"/>
        <v>31</v>
      </c>
      <c r="AT163" s="1064">
        <f>AS163*('Ввод исходных данных'!$D$83-AQ163)</f>
        <v>1236.8999999999999</v>
      </c>
      <c r="AU163" s="1070">
        <v>-15.3</v>
      </c>
      <c r="AV163" s="1070"/>
      <c r="AW163" s="1070">
        <f t="shared" si="31"/>
        <v>30</v>
      </c>
      <c r="AX163" s="1070">
        <f>AW163*('Ввод исходных данных'!$D$83-AU163)</f>
        <v>998.99999999999989</v>
      </c>
      <c r="AY163" s="1071">
        <v>-5.6</v>
      </c>
      <c r="AZ163" s="1071"/>
      <c r="BA163" s="1071">
        <f t="shared" si="32"/>
        <v>31</v>
      </c>
      <c r="BB163" s="1071">
        <f>BA163*('Ввод исходных данных'!$D$83-AY163)</f>
        <v>731.6</v>
      </c>
      <c r="BC163" s="1072">
        <v>5.8</v>
      </c>
      <c r="BD163" s="1072"/>
      <c r="BE163" s="1072">
        <f t="shared" si="24"/>
        <v>11.5</v>
      </c>
      <c r="BF163" s="1073">
        <f>BE163*('Ввод исходных данных'!$D$83-BC163)</f>
        <v>140.29999999999998</v>
      </c>
    </row>
    <row r="164" spans="2:58" ht="15.75" customHeight="1" x14ac:dyDescent="0.25">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6762</v>
      </c>
      <c r="J164" s="1059" t="str">
        <f t="shared" si="23"/>
        <v>6000-7000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161.70000000000002</v>
      </c>
      <c r="W164" s="1065">
        <v>-0.5</v>
      </c>
      <c r="X164" s="1065"/>
      <c r="Y164" s="1065">
        <f t="shared" si="28"/>
        <v>31</v>
      </c>
      <c r="Z164" s="1065">
        <f>Y164*('Ввод исходных данных'!$D$83-W164)</f>
        <v>573.5</v>
      </c>
      <c r="AA164" s="1066">
        <v>-12.3</v>
      </c>
      <c r="AB164" s="1066"/>
      <c r="AC164" s="1066">
        <f t="shared" si="29"/>
        <v>30</v>
      </c>
      <c r="AD164" s="1066">
        <f>AC164*('Ввод исходных данных'!$D$83-AA164)</f>
        <v>909</v>
      </c>
      <c r="AE164" s="1067">
        <v>-20.7</v>
      </c>
      <c r="AF164" s="1067"/>
      <c r="AG164" s="1067">
        <v>31</v>
      </c>
      <c r="AH164" s="1067">
        <f>AG164*('Ввод исходных данных'!$D$83-AE164)</f>
        <v>1199.7</v>
      </c>
      <c r="AI164" s="1068">
        <v>-22</v>
      </c>
      <c r="AJ164" s="1068"/>
      <c r="AK164" s="1068">
        <v>31</v>
      </c>
      <c r="AL164" s="1068">
        <f>AK164*('Ввод исходных данных'!$D$83-AI164)</f>
        <v>1240</v>
      </c>
      <c r="AM164" s="1069">
        <v>-19.5</v>
      </c>
      <c r="AN164" s="1069"/>
      <c r="AO164" s="1069">
        <v>28</v>
      </c>
      <c r="AP164" s="1069">
        <f>AO164*('Ввод исходных данных'!$D$83-AM164)</f>
        <v>1050</v>
      </c>
      <c r="AQ164" s="1064">
        <v>-10.7</v>
      </c>
      <c r="AR164" s="1064"/>
      <c r="AS164" s="1064">
        <f t="shared" si="30"/>
        <v>31</v>
      </c>
      <c r="AT164" s="1064">
        <f>AS164*('Ввод исходных данных'!$D$83-AQ164)</f>
        <v>889.69999999999993</v>
      </c>
      <c r="AU164" s="1070">
        <v>-0.9</v>
      </c>
      <c r="AV164" s="1070"/>
      <c r="AW164" s="1070">
        <f t="shared" si="31"/>
        <v>30</v>
      </c>
      <c r="AX164" s="1070">
        <f>AW164*('Ввод исходных данных'!$D$83-AU164)</f>
        <v>567</v>
      </c>
      <c r="AY164" s="1071">
        <v>7.1</v>
      </c>
      <c r="AZ164" s="1071"/>
      <c r="BA164" s="1071">
        <f t="shared" si="32"/>
        <v>16.5</v>
      </c>
      <c r="BB164" s="1071">
        <f>BA164*('Ввод исходных данных'!$D$83-AY164)</f>
        <v>179.85</v>
      </c>
      <c r="BC164" s="1072">
        <v>15.1</v>
      </c>
      <c r="BD164" s="1072"/>
      <c r="BE164" s="1072">
        <f t="shared" si="24"/>
        <v>0</v>
      </c>
      <c r="BF164" s="1073">
        <f>BE164*('Ввод исходных данных'!$D$83-BC164)</f>
        <v>0</v>
      </c>
    </row>
    <row r="165" spans="2:58" ht="15.75" customHeight="1" x14ac:dyDescent="0.25">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10774.4</v>
      </c>
      <c r="J165" s="1059" t="str">
        <f t="shared" si="23"/>
        <v>10000-11000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86.25</v>
      </c>
      <c r="S165" s="1064">
        <v>2.4</v>
      </c>
      <c r="T165" s="1064"/>
      <c r="U165" s="1064">
        <f t="shared" si="27"/>
        <v>30</v>
      </c>
      <c r="V165" s="1064">
        <f>U165*('Ввод исходных данных'!$D$83-S165)</f>
        <v>468</v>
      </c>
      <c r="W165" s="1065">
        <v>-12.2</v>
      </c>
      <c r="X165" s="1065"/>
      <c r="Y165" s="1065">
        <f t="shared" si="28"/>
        <v>31</v>
      </c>
      <c r="Z165" s="1065">
        <f>Y165*('Ввод исходных данных'!$D$83-W165)</f>
        <v>936.19999999999993</v>
      </c>
      <c r="AA165" s="1066">
        <v>-27.6</v>
      </c>
      <c r="AB165" s="1066"/>
      <c r="AC165" s="1066">
        <f t="shared" si="29"/>
        <v>30</v>
      </c>
      <c r="AD165" s="1066">
        <f>AC165*('Ввод исходных данных'!$D$83-AA165)</f>
        <v>1368</v>
      </c>
      <c r="AE165" s="1067">
        <v>-31.6</v>
      </c>
      <c r="AF165" s="1067"/>
      <c r="AG165" s="1067">
        <v>31</v>
      </c>
      <c r="AH165" s="1067">
        <f>AG165*('Ввод исходных данных'!$D$83-AE165)</f>
        <v>1537.6000000000001</v>
      </c>
      <c r="AI165" s="1068">
        <v>-36</v>
      </c>
      <c r="AJ165" s="1068"/>
      <c r="AK165" s="1068">
        <v>31</v>
      </c>
      <c r="AL165" s="1068">
        <f>AK165*('Ввод исходных данных'!$D$83-AI165)</f>
        <v>1674</v>
      </c>
      <c r="AM165" s="1069">
        <v>-33.799999999999997</v>
      </c>
      <c r="AN165" s="1069"/>
      <c r="AO165" s="1069">
        <v>28</v>
      </c>
      <c r="AP165" s="1069">
        <f>AO165*('Ввод исходных данных'!$D$83-AM165)</f>
        <v>1450.3999999999999</v>
      </c>
      <c r="AQ165" s="1064">
        <v>-23.9</v>
      </c>
      <c r="AR165" s="1064"/>
      <c r="AS165" s="1064">
        <f t="shared" si="30"/>
        <v>31</v>
      </c>
      <c r="AT165" s="1064">
        <f>AS165*('Ввод исходных данных'!$D$83-AQ165)</f>
        <v>1298.8999999999999</v>
      </c>
      <c r="AU165" s="1070">
        <v>-13.9</v>
      </c>
      <c r="AV165" s="1070"/>
      <c r="AW165" s="1070">
        <f t="shared" si="31"/>
        <v>30</v>
      </c>
      <c r="AX165" s="1070">
        <f>AW165*('Ввод исходных данных'!$D$83-AU165)</f>
        <v>957</v>
      </c>
      <c r="AY165" s="1071">
        <v>-3.2</v>
      </c>
      <c r="AZ165" s="1071"/>
      <c r="BA165" s="1071">
        <f t="shared" si="32"/>
        <v>31</v>
      </c>
      <c r="BB165" s="1071">
        <f>BA165*('Ввод исходных данных'!$D$83-AY165)</f>
        <v>657.19999999999993</v>
      </c>
      <c r="BC165" s="1072">
        <v>7</v>
      </c>
      <c r="BD165" s="1072"/>
      <c r="BE165" s="1072">
        <f t="shared" si="24"/>
        <v>11.5</v>
      </c>
      <c r="BF165" s="1073">
        <f>BE165*('Ввод исходных данных'!$D$83-BC165)</f>
        <v>126.5</v>
      </c>
    </row>
    <row r="166" spans="2:58" ht="15.75" customHeight="1" x14ac:dyDescent="0.25">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10132.400000000001</v>
      </c>
      <c r="J166" s="1059" t="str">
        <f t="shared" si="23"/>
        <v>10000-11000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57</v>
      </c>
      <c r="S166" s="1064">
        <v>4.8</v>
      </c>
      <c r="T166" s="1064"/>
      <c r="U166" s="1064">
        <f t="shared" si="27"/>
        <v>30</v>
      </c>
      <c r="V166" s="1064">
        <f>U166*('Ввод исходных данных'!$D$83-S166)</f>
        <v>396</v>
      </c>
      <c r="W166" s="1065">
        <v>-6.9</v>
      </c>
      <c r="X166" s="1065"/>
      <c r="Y166" s="1065">
        <f t="shared" si="28"/>
        <v>31</v>
      </c>
      <c r="Z166" s="1065">
        <f>Y166*('Ввод исходных данных'!$D$83-W166)</f>
        <v>771.9</v>
      </c>
      <c r="AA166" s="1066">
        <v>-20</v>
      </c>
      <c r="AB166" s="1066"/>
      <c r="AC166" s="1066">
        <f t="shared" si="29"/>
        <v>30</v>
      </c>
      <c r="AD166" s="1066">
        <f>AC166*('Ввод исходных данных'!$D$83-AA166)</f>
        <v>1140</v>
      </c>
      <c r="AE166" s="1067">
        <v>-25.4</v>
      </c>
      <c r="AF166" s="1067"/>
      <c r="AG166" s="1067">
        <v>31</v>
      </c>
      <c r="AH166" s="1067">
        <f>AG166*('Ввод исходных данных'!$D$83-AE166)</f>
        <v>1345.3999999999999</v>
      </c>
      <c r="AI166" s="1068">
        <v>-28.3</v>
      </c>
      <c r="AJ166" s="1068"/>
      <c r="AK166" s="1068">
        <v>31</v>
      </c>
      <c r="AL166" s="1068">
        <f>AK166*('Ввод исходных данных'!$D$83-AI166)</f>
        <v>1435.3</v>
      </c>
      <c r="AM166" s="1069">
        <v>-26.7</v>
      </c>
      <c r="AN166" s="1069"/>
      <c r="AO166" s="1069">
        <v>28</v>
      </c>
      <c r="AP166" s="1069">
        <f>AO166*('Ввод исходных данных'!$D$83-AM166)</f>
        <v>1251.6000000000001</v>
      </c>
      <c r="AQ166" s="1064">
        <v>-18.600000000000001</v>
      </c>
      <c r="AR166" s="1064"/>
      <c r="AS166" s="1064">
        <f t="shared" si="30"/>
        <v>31</v>
      </c>
      <c r="AT166" s="1064">
        <f>AS166*('Ввод исходных данных'!$D$83-AQ166)</f>
        <v>1134.6000000000001</v>
      </c>
      <c r="AU166" s="1070">
        <v>-11.1</v>
      </c>
      <c r="AV166" s="1070"/>
      <c r="AW166" s="1070">
        <f t="shared" si="31"/>
        <v>30</v>
      </c>
      <c r="AX166" s="1070">
        <f>AW166*('Ввод исходных данных'!$D$83-AU166)</f>
        <v>873</v>
      </c>
      <c r="AY166" s="1071">
        <v>-1.9</v>
      </c>
      <c r="AZ166" s="1071"/>
      <c r="BA166" s="1071">
        <f t="shared" si="32"/>
        <v>31</v>
      </c>
      <c r="BB166" s="1071">
        <f>BA166*('Ввод исходных данных'!$D$83-AY166)</f>
        <v>616.9</v>
      </c>
      <c r="BC166" s="1072">
        <v>9.1</v>
      </c>
      <c r="BD166" s="1072"/>
      <c r="BE166" s="1072">
        <f t="shared" si="24"/>
        <v>9.5</v>
      </c>
      <c r="BF166" s="1073">
        <f>BE166*('Ввод исходных данных'!$D$83-BC166)</f>
        <v>84.55</v>
      </c>
    </row>
    <row r="167" spans="2:58" ht="15.75" customHeight="1" x14ac:dyDescent="0.25">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6351.6</v>
      </c>
      <c r="J167" s="1059" t="str">
        <f t="shared" si="23"/>
        <v>6000-7000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114.99999999999999</v>
      </c>
      <c r="W167" s="1065">
        <v>0.4</v>
      </c>
      <c r="X167" s="1065"/>
      <c r="Y167" s="1065">
        <f t="shared" si="28"/>
        <v>31</v>
      </c>
      <c r="Z167" s="1065">
        <f>Y167*('Ввод исходных данных'!$D$83-W167)</f>
        <v>545.6</v>
      </c>
      <c r="AA167" s="1066">
        <v>-10.199999999999999</v>
      </c>
      <c r="AB167" s="1066"/>
      <c r="AC167" s="1066">
        <f t="shared" si="29"/>
        <v>30</v>
      </c>
      <c r="AD167" s="1066">
        <f>AC167*('Ввод исходных данных'!$D$83-AA167)</f>
        <v>846</v>
      </c>
      <c r="AE167" s="1067">
        <v>-18.600000000000001</v>
      </c>
      <c r="AF167" s="1067"/>
      <c r="AG167" s="1067">
        <v>31</v>
      </c>
      <c r="AH167" s="1067">
        <f>AG167*('Ввод исходных данных'!$D$83-AE167)</f>
        <v>1134.6000000000001</v>
      </c>
      <c r="AI167" s="1068">
        <v>-20.2</v>
      </c>
      <c r="AJ167" s="1068"/>
      <c r="AK167" s="1068">
        <v>31</v>
      </c>
      <c r="AL167" s="1068">
        <f>AK167*('Ввод исходных данных'!$D$83-AI167)</f>
        <v>1184.2</v>
      </c>
      <c r="AM167" s="1069">
        <v>-18.7</v>
      </c>
      <c r="AN167" s="1069"/>
      <c r="AO167" s="1069">
        <v>28</v>
      </c>
      <c r="AP167" s="1069">
        <f>AO167*('Ввод исходных данных'!$D$83-AM167)</f>
        <v>1027.6000000000001</v>
      </c>
      <c r="AQ167" s="1064">
        <v>-10.3</v>
      </c>
      <c r="AR167" s="1064"/>
      <c r="AS167" s="1064">
        <f t="shared" si="30"/>
        <v>31</v>
      </c>
      <c r="AT167" s="1064">
        <f>AS167*('Ввод исходных данных'!$D$83-AQ167)</f>
        <v>877.30000000000007</v>
      </c>
      <c r="AU167" s="1070">
        <v>0.7</v>
      </c>
      <c r="AV167" s="1070"/>
      <c r="AW167" s="1070">
        <f t="shared" si="31"/>
        <v>30</v>
      </c>
      <c r="AX167" s="1070">
        <f>AW167*('Ввод исходных данных'!$D$83-AU167)</f>
        <v>519</v>
      </c>
      <c r="AY167" s="1071">
        <v>8.6</v>
      </c>
      <c r="AZ167" s="1071"/>
      <c r="BA167" s="1071">
        <f t="shared" si="32"/>
        <v>12.5</v>
      </c>
      <c r="BB167" s="1071">
        <f>BA167*('Ввод исходных данных'!$D$83-AY167)</f>
        <v>117.5</v>
      </c>
      <c r="BC167" s="1072">
        <v>16</v>
      </c>
      <c r="BD167" s="1072"/>
      <c r="BE167" s="1072">
        <f t="shared" si="24"/>
        <v>0</v>
      </c>
      <c r="BF167" s="1073">
        <f>BE167*('Ввод исходных данных'!$D$83-BC167)</f>
        <v>0</v>
      </c>
    </row>
    <row r="168" spans="2:58" ht="15.75" customHeight="1" x14ac:dyDescent="0.25">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7635.6</v>
      </c>
      <c r="J168" s="1059" t="str">
        <f t="shared" si="23"/>
        <v>7000-8000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218</v>
      </c>
      <c r="W168" s="1065">
        <v>-1.9</v>
      </c>
      <c r="X168" s="1065"/>
      <c r="Y168" s="1065">
        <f t="shared" si="28"/>
        <v>31</v>
      </c>
      <c r="Z168" s="1065">
        <f>Y168*('Ввод исходных данных'!$D$83-W168)</f>
        <v>616.9</v>
      </c>
      <c r="AA168" s="1066">
        <v>-15.8</v>
      </c>
      <c r="AB168" s="1066"/>
      <c r="AC168" s="1066">
        <f t="shared" si="29"/>
        <v>30</v>
      </c>
      <c r="AD168" s="1066">
        <f>AC168*('Ввод исходных данных'!$D$83-AA168)</f>
        <v>1013.9999999999999</v>
      </c>
      <c r="AE168" s="1067">
        <v>-25.7</v>
      </c>
      <c r="AF168" s="1067"/>
      <c r="AG168" s="1067">
        <v>31</v>
      </c>
      <c r="AH168" s="1067">
        <f>AG168*('Ввод исходных данных'!$D$83-AE168)</f>
        <v>1354.7</v>
      </c>
      <c r="AI168" s="1068">
        <v>-27.4</v>
      </c>
      <c r="AJ168" s="1068"/>
      <c r="AK168" s="1068">
        <v>31</v>
      </c>
      <c r="AL168" s="1068">
        <f>AK168*('Ввод исходных данных'!$D$83-AI168)</f>
        <v>1407.3999999999999</v>
      </c>
      <c r="AM168" s="1069">
        <v>-25.1</v>
      </c>
      <c r="AN168" s="1069"/>
      <c r="AO168" s="1069">
        <v>28</v>
      </c>
      <c r="AP168" s="1069">
        <f>AO168*('Ввод исходных данных'!$D$83-AM168)</f>
        <v>1206.8</v>
      </c>
      <c r="AQ168" s="1064">
        <v>-14.1</v>
      </c>
      <c r="AR168" s="1064"/>
      <c r="AS168" s="1064">
        <f t="shared" si="30"/>
        <v>31</v>
      </c>
      <c r="AT168" s="1064">
        <f>AS168*('Ввод исходных данных'!$D$83-AQ168)</f>
        <v>995.1</v>
      </c>
      <c r="AU168" s="1070">
        <v>-2.2000000000000002</v>
      </c>
      <c r="AV168" s="1070"/>
      <c r="AW168" s="1070">
        <f t="shared" si="31"/>
        <v>30</v>
      </c>
      <c r="AX168" s="1070">
        <f>AW168*('Ввод исходных данных'!$D$83-AU168)</f>
        <v>606</v>
      </c>
      <c r="AY168" s="1071">
        <v>6.3</v>
      </c>
      <c r="AZ168" s="1071"/>
      <c r="BA168" s="1071">
        <f t="shared" si="32"/>
        <v>20</v>
      </c>
      <c r="BB168" s="1071">
        <f>BA168*('Ввод исходных данных'!$D$83-AY168)</f>
        <v>234</v>
      </c>
      <c r="BC168" s="1072">
        <v>14.9</v>
      </c>
      <c r="BD168" s="1072"/>
      <c r="BE168" s="1072">
        <f t="shared" si="24"/>
        <v>0</v>
      </c>
      <c r="BF168" s="1073">
        <f>BE168*('Ввод исходных данных'!$D$83-BC168)</f>
        <v>0</v>
      </c>
    </row>
    <row r="169" spans="2:58" ht="15.75" customHeight="1" x14ac:dyDescent="0.25">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6096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133</v>
      </c>
      <c r="W169" s="1065">
        <v>0.7</v>
      </c>
      <c r="X169" s="1065"/>
      <c r="Y169" s="1065">
        <f t="shared" si="28"/>
        <v>31</v>
      </c>
      <c r="Z169" s="1065">
        <f>Y169*('Ввод исходных данных'!$D$83-W169)</f>
        <v>536.30000000000007</v>
      </c>
      <c r="AA169" s="1066">
        <v>-10.1</v>
      </c>
      <c r="AB169" s="1066"/>
      <c r="AC169" s="1066">
        <f t="shared" si="29"/>
        <v>30</v>
      </c>
      <c r="AD169" s="1066">
        <f>AC169*('Ввод исходных данных'!$D$83-AA169)</f>
        <v>843</v>
      </c>
      <c r="AE169" s="1067">
        <v>-16.899999999999999</v>
      </c>
      <c r="AF169" s="1067"/>
      <c r="AG169" s="1067">
        <v>31</v>
      </c>
      <c r="AH169" s="1067">
        <f>AG169*('Ввод исходных данных'!$D$83-AE169)</f>
        <v>1081.8999999999999</v>
      </c>
      <c r="AI169" s="1068">
        <v>-17.7</v>
      </c>
      <c r="AJ169" s="1068"/>
      <c r="AK169" s="1068">
        <v>31</v>
      </c>
      <c r="AL169" s="1068">
        <f>AK169*('Ввод исходных данных'!$D$83-AI169)</f>
        <v>1106.7</v>
      </c>
      <c r="AM169" s="1069">
        <v>-15.6</v>
      </c>
      <c r="AN169" s="1069"/>
      <c r="AO169" s="1069">
        <v>28</v>
      </c>
      <c r="AP169" s="1069">
        <f>AO169*('Ввод исходных данных'!$D$83-AM169)</f>
        <v>940.80000000000007</v>
      </c>
      <c r="AQ169" s="1064">
        <v>-8</v>
      </c>
      <c r="AR169" s="1064"/>
      <c r="AS169" s="1064">
        <f t="shared" si="30"/>
        <v>31</v>
      </c>
      <c r="AT169" s="1064">
        <f>AS169*('Ввод исходных данных'!$D$83-AQ169)</f>
        <v>806</v>
      </c>
      <c r="AU169" s="1070">
        <v>0.8</v>
      </c>
      <c r="AV169" s="1070"/>
      <c r="AW169" s="1070">
        <f t="shared" si="31"/>
        <v>30</v>
      </c>
      <c r="AX169" s="1070">
        <f>AW169*('Ввод исходных данных'!$D$83-AU169)</f>
        <v>516</v>
      </c>
      <c r="AY169" s="1071">
        <v>8.1999999999999993</v>
      </c>
      <c r="AZ169" s="1071"/>
      <c r="BA169" s="1071">
        <f t="shared" si="32"/>
        <v>14</v>
      </c>
      <c r="BB169" s="1071">
        <f>BA169*('Ввод исходных данных'!$D$83-AY169)</f>
        <v>137.20000000000002</v>
      </c>
      <c r="BC169" s="1072">
        <v>15.6</v>
      </c>
      <c r="BD169" s="1072"/>
      <c r="BE169" s="1072">
        <f t="shared" si="24"/>
        <v>0</v>
      </c>
      <c r="BF169" s="1073">
        <f>BE169*('Ввод исходных данных'!$D$83-BC169)</f>
        <v>0</v>
      </c>
    </row>
    <row r="170" spans="2:58" ht="15.75" customHeight="1" x14ac:dyDescent="0.25">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5755.0999999999995</v>
      </c>
      <c r="J170" s="1059" t="str">
        <f t="shared" si="23"/>
        <v>5000-6000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189</v>
      </c>
      <c r="W170" s="1065">
        <v>1.5</v>
      </c>
      <c r="X170" s="1065"/>
      <c r="Y170" s="1065">
        <f t="shared" si="28"/>
        <v>31</v>
      </c>
      <c r="Z170" s="1065">
        <f>Y170*('Ввод исходных данных'!$D$83-W170)</f>
        <v>511.5</v>
      </c>
      <c r="AA170" s="1066">
        <v>-7.5</v>
      </c>
      <c r="AB170" s="1066"/>
      <c r="AC170" s="1066">
        <f t="shared" si="29"/>
        <v>30</v>
      </c>
      <c r="AD170" s="1066">
        <f>AC170*('Ввод исходных данных'!$D$83-AA170)</f>
        <v>765</v>
      </c>
      <c r="AE170" s="1067">
        <v>-13.7</v>
      </c>
      <c r="AF170" s="1067"/>
      <c r="AG170" s="1067">
        <v>31</v>
      </c>
      <c r="AH170" s="1067">
        <f>AG170*('Ввод исходных данных'!$D$83-AE170)</f>
        <v>982.69999999999993</v>
      </c>
      <c r="AI170" s="1068">
        <v>-16</v>
      </c>
      <c r="AJ170" s="1068"/>
      <c r="AK170" s="1068">
        <v>31</v>
      </c>
      <c r="AL170" s="1068">
        <f>AK170*('Ввод исходных данных'!$D$83-AI170)</f>
        <v>1054</v>
      </c>
      <c r="AM170" s="1069">
        <v>-14</v>
      </c>
      <c r="AN170" s="1069"/>
      <c r="AO170" s="1069">
        <v>28</v>
      </c>
      <c r="AP170" s="1069">
        <f>AO170*('Ввод исходных данных'!$D$83-AM170)</f>
        <v>896</v>
      </c>
      <c r="AQ170" s="1064">
        <v>-6.3</v>
      </c>
      <c r="AR170" s="1064"/>
      <c r="AS170" s="1064">
        <f t="shared" si="30"/>
        <v>31</v>
      </c>
      <c r="AT170" s="1064">
        <f>AS170*('Ввод исходных данных'!$D$83-AQ170)</f>
        <v>753.30000000000007</v>
      </c>
      <c r="AU170" s="1070">
        <v>1.9</v>
      </c>
      <c r="AV170" s="1070"/>
      <c r="AW170" s="1070">
        <f t="shared" si="31"/>
        <v>30</v>
      </c>
      <c r="AX170" s="1070">
        <f>AW170*('Ввод исходных данных'!$D$83-AU170)</f>
        <v>483.00000000000006</v>
      </c>
      <c r="AY170" s="1071">
        <v>0</v>
      </c>
      <c r="AZ170" s="1071"/>
      <c r="BA170" s="1071">
        <f t="shared" si="32"/>
        <v>10.5</v>
      </c>
      <c r="BB170" s="1071">
        <f>BA170*('Ввод исходных данных'!$D$83-AY170)</f>
        <v>189</v>
      </c>
      <c r="BC170" s="1072">
        <v>0</v>
      </c>
      <c r="BD170" s="1072"/>
      <c r="BE170" s="1072">
        <f t="shared" si="24"/>
        <v>0</v>
      </c>
      <c r="BF170" s="1073">
        <f>BE170*('Ввод исходных данных'!$D$83-BC170)</f>
        <v>0</v>
      </c>
    </row>
    <row r="171" spans="2:58" ht="15.75" customHeight="1" x14ac:dyDescent="0.25">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5723.9</v>
      </c>
      <c r="J171" s="1059" t="str">
        <f t="shared" si="23"/>
        <v>5000-6000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36</v>
      </c>
      <c r="W171" s="1065">
        <v>2.2000000000000002</v>
      </c>
      <c r="X171" s="1065"/>
      <c r="Y171" s="1065">
        <f t="shared" si="28"/>
        <v>31</v>
      </c>
      <c r="Z171" s="1065">
        <f>Y171*('Ввод исходных данных'!$D$83-W171)</f>
        <v>489.8</v>
      </c>
      <c r="AA171" s="1066">
        <v>-7.3</v>
      </c>
      <c r="AB171" s="1066"/>
      <c r="AC171" s="1066">
        <f t="shared" si="29"/>
        <v>30</v>
      </c>
      <c r="AD171" s="1066">
        <f>AC171*('Ввод исходных данных'!$D$83-AA171)</f>
        <v>759</v>
      </c>
      <c r="AE171" s="1067">
        <v>-15.4</v>
      </c>
      <c r="AF171" s="1067"/>
      <c r="AG171" s="1067">
        <v>31</v>
      </c>
      <c r="AH171" s="1067">
        <f>AG171*('Ввод исходных данных'!$D$83-AE171)</f>
        <v>1035.3999999999999</v>
      </c>
      <c r="AI171" s="1068">
        <v>-18.2</v>
      </c>
      <c r="AJ171" s="1068"/>
      <c r="AK171" s="1068">
        <v>31</v>
      </c>
      <c r="AL171" s="1068">
        <f>AK171*('Ввод исходных данных'!$D$83-AI171)</f>
        <v>1122.2</v>
      </c>
      <c r="AM171" s="1069">
        <v>-16</v>
      </c>
      <c r="AN171" s="1069"/>
      <c r="AO171" s="1069">
        <v>28</v>
      </c>
      <c r="AP171" s="1069">
        <f>AO171*('Ввод исходных данных'!$D$83-AM171)</f>
        <v>952</v>
      </c>
      <c r="AQ171" s="1064">
        <v>-6.3</v>
      </c>
      <c r="AR171" s="1064"/>
      <c r="AS171" s="1064">
        <f t="shared" si="30"/>
        <v>31</v>
      </c>
      <c r="AT171" s="1064">
        <f>AS171*('Ввод исходных данных'!$D$83-AQ171)</f>
        <v>753.30000000000007</v>
      </c>
      <c r="AU171" s="1070">
        <v>3.9</v>
      </c>
      <c r="AV171" s="1070"/>
      <c r="AW171" s="1070">
        <f t="shared" si="31"/>
        <v>30</v>
      </c>
      <c r="AX171" s="1070">
        <f>AW171*('Ввод исходных данных'!$D$83-AU171)</f>
        <v>423</v>
      </c>
      <c r="AY171" s="1071">
        <v>11.4</v>
      </c>
      <c r="AZ171" s="1071"/>
      <c r="BA171" s="1071">
        <f t="shared" si="32"/>
        <v>4.5</v>
      </c>
      <c r="BB171" s="1071">
        <f>BA171*('Ввод исходных данных'!$D$83-AY171)</f>
        <v>29.7</v>
      </c>
      <c r="BC171" s="1072">
        <v>17.5</v>
      </c>
      <c r="BD171" s="1072"/>
      <c r="BE171" s="1072">
        <f t="shared" si="24"/>
        <v>0</v>
      </c>
      <c r="BF171" s="1073">
        <f>BE171*('Ввод исходных данных'!$D$83-BC171)</f>
        <v>0</v>
      </c>
    </row>
    <row r="172" spans="2:58" ht="15.75" customHeight="1" x14ac:dyDescent="0.25">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8342.4</v>
      </c>
      <c r="J172" s="1059" t="str">
        <f t="shared" si="23"/>
        <v>8000-9000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330.2</v>
      </c>
      <c r="W172" s="1065">
        <v>-4.2</v>
      </c>
      <c r="X172" s="1065"/>
      <c r="Y172" s="1065">
        <f t="shared" si="28"/>
        <v>31</v>
      </c>
      <c r="Z172" s="1065">
        <f>Y172*('Ввод исходных данных'!$D$83-W172)</f>
        <v>688.19999999999993</v>
      </c>
      <c r="AA172" s="1066">
        <v>-20.100000000000001</v>
      </c>
      <c r="AB172" s="1066"/>
      <c r="AC172" s="1066">
        <f t="shared" si="29"/>
        <v>30</v>
      </c>
      <c r="AD172" s="1066">
        <f>AC172*('Ввод исходных данных'!$D$83-AA172)</f>
        <v>1143</v>
      </c>
      <c r="AE172" s="1067">
        <v>-29.1</v>
      </c>
      <c r="AF172" s="1067"/>
      <c r="AG172" s="1067">
        <v>31</v>
      </c>
      <c r="AH172" s="1067">
        <f>AG172*('Ввод исходных данных'!$D$83-AE172)</f>
        <v>1460.1000000000001</v>
      </c>
      <c r="AI172" s="1068">
        <v>-30.1</v>
      </c>
      <c r="AJ172" s="1068"/>
      <c r="AK172" s="1068">
        <v>31</v>
      </c>
      <c r="AL172" s="1068">
        <f>AK172*('Ввод исходных данных'!$D$83-AI172)</f>
        <v>1491.1000000000001</v>
      </c>
      <c r="AM172" s="1069">
        <v>-26.6</v>
      </c>
      <c r="AN172" s="1069"/>
      <c r="AO172" s="1069">
        <v>28</v>
      </c>
      <c r="AP172" s="1069">
        <f>AO172*('Ввод исходных данных'!$D$83-AM172)</f>
        <v>1248.8</v>
      </c>
      <c r="AQ172" s="1064">
        <v>-15.6</v>
      </c>
      <c r="AR172" s="1064"/>
      <c r="AS172" s="1064">
        <f t="shared" si="30"/>
        <v>31</v>
      </c>
      <c r="AT172" s="1064">
        <f>AS172*('Ввод исходных данных'!$D$83-AQ172)</f>
        <v>1041.6000000000001</v>
      </c>
      <c r="AU172" s="1070">
        <v>-3.4</v>
      </c>
      <c r="AV172" s="1070"/>
      <c r="AW172" s="1070">
        <f t="shared" si="31"/>
        <v>30</v>
      </c>
      <c r="AX172" s="1070">
        <f>AW172*('Ввод исходных данных'!$D$83-AU172)</f>
        <v>642</v>
      </c>
      <c r="AY172" s="1071">
        <v>5.0999999999999996</v>
      </c>
      <c r="AZ172" s="1071"/>
      <c r="BA172" s="1071">
        <f t="shared" si="32"/>
        <v>26</v>
      </c>
      <c r="BB172" s="1071">
        <f>BA172*('Ввод исходных данных'!$D$83-AY172)</f>
        <v>335.40000000000003</v>
      </c>
      <c r="BC172" s="1072">
        <v>13.4</v>
      </c>
      <c r="BD172" s="1072"/>
      <c r="BE172" s="1072">
        <f t="shared" si="24"/>
        <v>0</v>
      </c>
      <c r="BF172" s="1073">
        <f>BE172*('Ввод исходных данных'!$D$83-BC172)</f>
        <v>0</v>
      </c>
    </row>
    <row r="173" spans="2:58" ht="15.75" customHeight="1" x14ac:dyDescent="0.25">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6977.8</v>
      </c>
      <c r="J173" s="1059" t="str">
        <f t="shared" si="23"/>
        <v>6000-7000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214.5</v>
      </c>
      <c r="W173" s="1065">
        <v>-1</v>
      </c>
      <c r="X173" s="1065"/>
      <c r="Y173" s="1065">
        <f t="shared" si="28"/>
        <v>31</v>
      </c>
      <c r="Z173" s="1065">
        <f>Y173*('Ввод исходных данных'!$D$83-W173)</f>
        <v>589</v>
      </c>
      <c r="AA173" s="1066">
        <v>-12.5</v>
      </c>
      <c r="AB173" s="1066"/>
      <c r="AC173" s="1066">
        <f t="shared" si="29"/>
        <v>30</v>
      </c>
      <c r="AD173" s="1066">
        <f>AC173*('Ввод исходных данных'!$D$83-AA173)</f>
        <v>915</v>
      </c>
      <c r="AE173" s="1067">
        <v>-21.9</v>
      </c>
      <c r="AF173" s="1067"/>
      <c r="AG173" s="1067">
        <v>31</v>
      </c>
      <c r="AH173" s="1067">
        <f>AG173*('Ввод исходных данных'!$D$83-AE173)</f>
        <v>1236.8999999999999</v>
      </c>
      <c r="AI173" s="1068">
        <v>-22.8</v>
      </c>
      <c r="AJ173" s="1068"/>
      <c r="AK173" s="1068">
        <v>31</v>
      </c>
      <c r="AL173" s="1068">
        <f>AK173*('Ввод исходных данных'!$D$83-AI173)</f>
        <v>1264.8</v>
      </c>
      <c r="AM173" s="1069">
        <v>-20.3</v>
      </c>
      <c r="AN173" s="1069"/>
      <c r="AO173" s="1069">
        <v>28</v>
      </c>
      <c r="AP173" s="1069">
        <f>AO173*('Ввод исходных данных'!$D$83-AM173)</f>
        <v>1072.3999999999999</v>
      </c>
      <c r="AQ173" s="1064">
        <v>-11.5</v>
      </c>
      <c r="AR173" s="1064"/>
      <c r="AS173" s="1064">
        <f t="shared" si="30"/>
        <v>31</v>
      </c>
      <c r="AT173" s="1064">
        <f>AS173*('Ввод исходных данных'!$D$83-AQ173)</f>
        <v>914.5</v>
      </c>
      <c r="AU173" s="1070">
        <v>-0.8</v>
      </c>
      <c r="AV173" s="1070"/>
      <c r="AW173" s="1070">
        <f t="shared" si="31"/>
        <v>30</v>
      </c>
      <c r="AX173" s="1070">
        <f>AW173*('Ввод исходных данных'!$D$83-AU173)</f>
        <v>564</v>
      </c>
      <c r="AY173" s="1071">
        <v>6.9</v>
      </c>
      <c r="AZ173" s="1071"/>
      <c r="BA173" s="1071">
        <f t="shared" si="32"/>
        <v>19.5</v>
      </c>
      <c r="BB173" s="1071">
        <f>BA173*('Ввод исходных данных'!$D$83-AY173)</f>
        <v>216.45</v>
      </c>
      <c r="BC173" s="1072">
        <v>14.5</v>
      </c>
      <c r="BD173" s="1072"/>
      <c r="BE173" s="1072">
        <f t="shared" si="24"/>
        <v>0</v>
      </c>
      <c r="BF173" s="1073">
        <f>BE173*('Ввод исходных данных'!$D$83-BC173)</f>
        <v>0</v>
      </c>
    </row>
    <row r="174" spans="2:58" ht="15.75" customHeight="1" x14ac:dyDescent="0.25">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9504</v>
      </c>
      <c r="J174" s="1059" t="str">
        <f t="shared" si="23"/>
        <v>9000-10000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382.79999999999995</v>
      </c>
      <c r="W174" s="1065">
        <v>-7</v>
      </c>
      <c r="X174" s="1065"/>
      <c r="Y174" s="1065">
        <f t="shared" si="28"/>
        <v>31</v>
      </c>
      <c r="Z174" s="1065">
        <f>Y174*('Ввод исходных данных'!$D$83-W174)</f>
        <v>775</v>
      </c>
      <c r="AA174" s="1066">
        <v>-24.3</v>
      </c>
      <c r="AB174" s="1066"/>
      <c r="AC174" s="1066">
        <f t="shared" si="29"/>
        <v>30</v>
      </c>
      <c r="AD174" s="1066">
        <f>AC174*('Ввод исходных данных'!$D$83-AA174)</f>
        <v>1269</v>
      </c>
      <c r="AE174" s="1067">
        <v>-32.4</v>
      </c>
      <c r="AF174" s="1067"/>
      <c r="AG174" s="1067">
        <v>31</v>
      </c>
      <c r="AH174" s="1067">
        <f>AG174*('Ввод исходных данных'!$D$83-AE174)</f>
        <v>1562.3999999999999</v>
      </c>
      <c r="AI174" s="1068">
        <v>-35.700000000000003</v>
      </c>
      <c r="AJ174" s="1068"/>
      <c r="AK174" s="1068">
        <v>31</v>
      </c>
      <c r="AL174" s="1068">
        <f>AK174*('Ввод исходных данных'!$D$83-AI174)</f>
        <v>1664.7</v>
      </c>
      <c r="AM174" s="1069">
        <v>-31.8</v>
      </c>
      <c r="AN174" s="1069"/>
      <c r="AO174" s="1069">
        <v>28</v>
      </c>
      <c r="AP174" s="1069">
        <f>AO174*('Ввод исходных данных'!$D$83-AM174)</f>
        <v>1394.3999999999999</v>
      </c>
      <c r="AQ174" s="1064">
        <v>-18.3</v>
      </c>
      <c r="AR174" s="1064"/>
      <c r="AS174" s="1064">
        <f t="shared" si="30"/>
        <v>31</v>
      </c>
      <c r="AT174" s="1064">
        <f>AS174*('Ввод исходных данных'!$D$83-AQ174)</f>
        <v>1125.3</v>
      </c>
      <c r="AU174" s="1070">
        <v>-6.8</v>
      </c>
      <c r="AV174" s="1070"/>
      <c r="AW174" s="1070">
        <f t="shared" si="31"/>
        <v>30</v>
      </c>
      <c r="AX174" s="1070">
        <f>AW174*('Ввод исходных данных'!$D$83-AU174)</f>
        <v>744</v>
      </c>
      <c r="AY174" s="1071">
        <v>3.3</v>
      </c>
      <c r="AZ174" s="1071"/>
      <c r="BA174" s="1071">
        <f t="shared" si="32"/>
        <v>29</v>
      </c>
      <c r="BB174" s="1071">
        <f>BA174*('Ввод исходных данных'!$D$83-AY174)</f>
        <v>426.29999999999995</v>
      </c>
      <c r="BC174" s="1072">
        <v>12.8</v>
      </c>
      <c r="BD174" s="1072"/>
      <c r="BE174" s="1072">
        <f t="shared" si="24"/>
        <v>0</v>
      </c>
      <c r="BF174" s="1073">
        <f>BE174*('Ввод исходных данных'!$D$83-BC174)</f>
        <v>0</v>
      </c>
    </row>
    <row r="175" spans="2:58" ht="15.75" customHeight="1" x14ac:dyDescent="0.25">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8576.2000000000007</v>
      </c>
      <c r="J175" s="1059" t="str">
        <f t="shared" si="23"/>
        <v>8000-9000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2.6500000000000004</v>
      </c>
      <c r="S175" s="1064">
        <v>5.5</v>
      </c>
      <c r="T175" s="1064"/>
      <c r="U175" s="1064">
        <f t="shared" si="27"/>
        <v>30</v>
      </c>
      <c r="V175" s="1064">
        <f>U175*('Ввод исходных данных'!$D$83-S175)</f>
        <v>375</v>
      </c>
      <c r="W175" s="1065">
        <v>-5.7</v>
      </c>
      <c r="X175" s="1065"/>
      <c r="Y175" s="1065">
        <f t="shared" si="28"/>
        <v>31</v>
      </c>
      <c r="Z175" s="1065">
        <f>Y175*('Ввод исходных данных'!$D$83-W175)</f>
        <v>734.69999999999993</v>
      </c>
      <c r="AA175" s="1066">
        <v>-18.600000000000001</v>
      </c>
      <c r="AB175" s="1066"/>
      <c r="AC175" s="1066">
        <f t="shared" si="29"/>
        <v>30</v>
      </c>
      <c r="AD175" s="1066">
        <f>AC175*('Ввод исходных данных'!$D$83-AA175)</f>
        <v>1098</v>
      </c>
      <c r="AE175" s="1067">
        <v>-23.9</v>
      </c>
      <c r="AF175" s="1067"/>
      <c r="AG175" s="1067">
        <v>31</v>
      </c>
      <c r="AH175" s="1067">
        <f>AG175*('Ввод исходных данных'!$D$83-AE175)</f>
        <v>1298.8999999999999</v>
      </c>
      <c r="AI175" s="1068">
        <v>-26.5</v>
      </c>
      <c r="AJ175" s="1068"/>
      <c r="AK175" s="1068">
        <v>31</v>
      </c>
      <c r="AL175" s="1068">
        <f>AK175*('Ввод исходных данных'!$D$83-AI175)</f>
        <v>1379.5</v>
      </c>
      <c r="AM175" s="1069">
        <v>-24.2</v>
      </c>
      <c r="AN175" s="1069"/>
      <c r="AO175" s="1069">
        <v>28</v>
      </c>
      <c r="AP175" s="1069">
        <f>AO175*('Ввод исходных данных'!$D$83-AM175)</f>
        <v>1181.6000000000001</v>
      </c>
      <c r="AQ175" s="1064">
        <v>-15.8</v>
      </c>
      <c r="AR175" s="1064"/>
      <c r="AS175" s="1064">
        <f t="shared" si="30"/>
        <v>31</v>
      </c>
      <c r="AT175" s="1064">
        <f>AS175*('Ввод исходных данных'!$D$83-AQ175)</f>
        <v>1047.8</v>
      </c>
      <c r="AU175" s="1070">
        <v>-8.1</v>
      </c>
      <c r="AV175" s="1070"/>
      <c r="AW175" s="1070">
        <f t="shared" si="31"/>
        <v>30</v>
      </c>
      <c r="AX175" s="1070">
        <f>AW175*('Ввод исходных данных'!$D$83-AU175)</f>
        <v>783</v>
      </c>
      <c r="AY175" s="1071">
        <v>0.7</v>
      </c>
      <c r="AZ175" s="1071"/>
      <c r="BA175" s="1071">
        <f t="shared" si="32"/>
        <v>31</v>
      </c>
      <c r="BB175" s="1071">
        <f>BA175*('Ввод исходных данных'!$D$83-AY175)</f>
        <v>536.30000000000007</v>
      </c>
      <c r="BC175" s="1072">
        <v>10.9</v>
      </c>
      <c r="BD175" s="1072"/>
      <c r="BE175" s="1072">
        <f t="shared" si="24"/>
        <v>0.5</v>
      </c>
      <c r="BF175" s="1073">
        <f>BE175*('Ввод исходных данных'!$D$83-BC175)</f>
        <v>3.55</v>
      </c>
    </row>
    <row r="176" spans="2:58" ht="15.75" customHeight="1" x14ac:dyDescent="0.25">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10944</v>
      </c>
      <c r="J176" s="1059" t="str">
        <f t="shared" si="23"/>
        <v>10000-11000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134.85</v>
      </c>
      <c r="S176" s="1064">
        <v>1.6</v>
      </c>
      <c r="T176" s="1064"/>
      <c r="U176" s="1064">
        <f t="shared" si="27"/>
        <v>30</v>
      </c>
      <c r="V176" s="1064">
        <f>U176*('Ввод исходных данных'!$D$83-S176)</f>
        <v>491.99999999999994</v>
      </c>
      <c r="W176" s="1065">
        <v>-12.3</v>
      </c>
      <c r="X176" s="1065"/>
      <c r="Y176" s="1065">
        <f t="shared" si="28"/>
        <v>31</v>
      </c>
      <c r="Z176" s="1065">
        <f>Y176*('Ввод исходных данных'!$D$83-W176)</f>
        <v>939.30000000000007</v>
      </c>
      <c r="AA176" s="1066">
        <v>-25.5</v>
      </c>
      <c r="AB176" s="1066"/>
      <c r="AC176" s="1066">
        <f t="shared" si="29"/>
        <v>30</v>
      </c>
      <c r="AD176" s="1066">
        <f>AC176*('Ввод исходных данных'!$D$83-AA176)</f>
        <v>1305</v>
      </c>
      <c r="AE176" s="1067">
        <v>-29.3</v>
      </c>
      <c r="AF176" s="1067"/>
      <c r="AG176" s="1067">
        <v>31</v>
      </c>
      <c r="AH176" s="1067">
        <f>AG176*('Ввод исходных данных'!$D$83-AE176)</f>
        <v>1466.3</v>
      </c>
      <c r="AI176" s="1068">
        <v>-32.799999999999997</v>
      </c>
      <c r="AJ176" s="1068"/>
      <c r="AK176" s="1068">
        <v>31</v>
      </c>
      <c r="AL176" s="1068">
        <f>AK176*('Ввод исходных данных'!$D$83-AI176)</f>
        <v>1574.8</v>
      </c>
      <c r="AM176" s="1069">
        <v>-32.299999999999997</v>
      </c>
      <c r="AN176" s="1069"/>
      <c r="AO176" s="1069">
        <v>28</v>
      </c>
      <c r="AP176" s="1069">
        <f>AO176*('Ввод исходных данных'!$D$83-AM176)</f>
        <v>1408.3999999999999</v>
      </c>
      <c r="AQ176" s="1064">
        <v>-26.7</v>
      </c>
      <c r="AR176" s="1064"/>
      <c r="AS176" s="1064">
        <f t="shared" si="30"/>
        <v>31</v>
      </c>
      <c r="AT176" s="1064">
        <f>AS176*('Ввод исходных данных'!$D$83-AQ176)</f>
        <v>1385.7</v>
      </c>
      <c r="AU176" s="1070">
        <v>-17.5</v>
      </c>
      <c r="AV176" s="1070"/>
      <c r="AW176" s="1070">
        <f t="shared" si="31"/>
        <v>30</v>
      </c>
      <c r="AX176" s="1070">
        <f>AW176*('Ввод исходных данных'!$D$83-AU176)</f>
        <v>1065</v>
      </c>
      <c r="AY176" s="1071">
        <v>-6.8</v>
      </c>
      <c r="AZ176" s="1071"/>
      <c r="BA176" s="1071">
        <f t="shared" si="32"/>
        <v>31</v>
      </c>
      <c r="BB176" s="1071">
        <f>BA176*('Ввод исходных данных'!$D$83-AY176)</f>
        <v>768.80000000000007</v>
      </c>
      <c r="BC176" s="1072">
        <v>5.4</v>
      </c>
      <c r="BD176" s="1072"/>
      <c r="BE176" s="1072">
        <f t="shared" si="24"/>
        <v>15.5</v>
      </c>
      <c r="BF176" s="1073">
        <f>BE176*('Ввод исходных данных'!$D$83-BC176)</f>
        <v>195.29999999999998</v>
      </c>
    </row>
    <row r="177" spans="2:58" ht="15.75" customHeight="1" x14ac:dyDescent="0.25">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11935.500000000002</v>
      </c>
      <c r="J177" s="1059" t="str">
        <f t="shared" si="23"/>
        <v>11000-12000</v>
      </c>
      <c r="K177" s="1060">
        <v>1.5</v>
      </c>
      <c r="L177" s="1060"/>
      <c r="M177" s="1061">
        <f t="shared" si="25"/>
        <v>31</v>
      </c>
      <c r="N177" s="1062">
        <f>M177*('Ввод исходных данных'!$D$83-K177)</f>
        <v>511.5</v>
      </c>
      <c r="O177" s="1063">
        <v>0.7</v>
      </c>
      <c r="P177" s="1063"/>
      <c r="Q177" s="1063">
        <f t="shared" si="26"/>
        <v>31</v>
      </c>
      <c r="R177" s="1063">
        <f>Q177*('Ввод исходных данных'!$D$83-O177)</f>
        <v>536.30000000000007</v>
      </c>
      <c r="S177" s="1064">
        <v>-2.4</v>
      </c>
      <c r="T177" s="1064"/>
      <c r="U177" s="1064">
        <f t="shared" si="27"/>
        <v>30</v>
      </c>
      <c r="V177" s="1064">
        <f>U177*('Ввод исходных данных'!$D$83-S177)</f>
        <v>612</v>
      </c>
      <c r="W177" s="1065">
        <v>-11.5</v>
      </c>
      <c r="X177" s="1065"/>
      <c r="Y177" s="1065">
        <f t="shared" si="28"/>
        <v>31</v>
      </c>
      <c r="Z177" s="1065">
        <f>Y177*('Ввод исходных данных'!$D$83-W177)</f>
        <v>914.5</v>
      </c>
      <c r="AA177" s="1066">
        <v>-21.4</v>
      </c>
      <c r="AB177" s="1066"/>
      <c r="AC177" s="1066">
        <f t="shared" si="29"/>
        <v>30</v>
      </c>
      <c r="AD177" s="1066">
        <f>AC177*('Ввод исходных данных'!$D$83-AA177)</f>
        <v>1182</v>
      </c>
      <c r="AE177" s="1067">
        <v>-25.3</v>
      </c>
      <c r="AF177" s="1067"/>
      <c r="AG177" s="1067">
        <v>31</v>
      </c>
      <c r="AH177" s="1067">
        <f>AG177*('Ввод исходных данных'!$D$83-AE177)</f>
        <v>1342.3</v>
      </c>
      <c r="AI177" s="1068">
        <v>-28.5</v>
      </c>
      <c r="AJ177" s="1068"/>
      <c r="AK177" s="1068">
        <v>31</v>
      </c>
      <c r="AL177" s="1068">
        <f>AK177*('Ввод исходных данных'!$D$83-AI177)</f>
        <v>1441.5</v>
      </c>
      <c r="AM177" s="1069">
        <v>-28.6</v>
      </c>
      <c r="AN177" s="1069"/>
      <c r="AO177" s="1069">
        <v>28</v>
      </c>
      <c r="AP177" s="1069">
        <f>AO177*('Ввод исходных данных'!$D$83-AM177)</f>
        <v>1304.8</v>
      </c>
      <c r="AQ177" s="1064">
        <v>-28.2</v>
      </c>
      <c r="AR177" s="1064"/>
      <c r="AS177" s="1064">
        <f t="shared" si="30"/>
        <v>31</v>
      </c>
      <c r="AT177" s="1064">
        <f>AS177*('Ввод исходных данных'!$D$83-AQ177)</f>
        <v>1432.2</v>
      </c>
      <c r="AU177" s="1070">
        <v>-21</v>
      </c>
      <c r="AV177" s="1070"/>
      <c r="AW177" s="1070">
        <f t="shared" si="31"/>
        <v>30</v>
      </c>
      <c r="AX177" s="1070">
        <f>AW177*('Ввод исходных данных'!$D$83-AU177)</f>
        <v>1170</v>
      </c>
      <c r="AY177" s="1071">
        <v>-10.5</v>
      </c>
      <c r="AZ177" s="1071"/>
      <c r="BA177" s="1071">
        <f t="shared" si="32"/>
        <v>31</v>
      </c>
      <c r="BB177" s="1071">
        <f>BA177*('Ввод исходных данных'!$D$83-AY177)</f>
        <v>883.5</v>
      </c>
      <c r="BC177" s="1072">
        <v>-1.4</v>
      </c>
      <c r="BD177" s="1072"/>
      <c r="BE177" s="1072">
        <f t="shared" si="24"/>
        <v>30</v>
      </c>
      <c r="BF177" s="1073">
        <f>BE177*('Ввод исходных данных'!$D$83-BC177)</f>
        <v>582</v>
      </c>
    </row>
    <row r="178" spans="2:58" ht="15.75" customHeight="1" x14ac:dyDescent="0.25">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7315.2</v>
      </c>
      <c r="J178" s="1059" t="str">
        <f t="shared" si="23"/>
        <v>7000-8000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218.4</v>
      </c>
      <c r="W178" s="1065">
        <v>-1.8</v>
      </c>
      <c r="X178" s="1065"/>
      <c r="Y178" s="1065">
        <f t="shared" si="28"/>
        <v>31</v>
      </c>
      <c r="Z178" s="1065">
        <f>Y178*('Ввод исходных данных'!$D$83-W178)</f>
        <v>613.80000000000007</v>
      </c>
      <c r="AA178" s="1066">
        <v>-14.7</v>
      </c>
      <c r="AB178" s="1066"/>
      <c r="AC178" s="1066">
        <f t="shared" si="29"/>
        <v>30</v>
      </c>
      <c r="AD178" s="1066">
        <f>AC178*('Ввод исходных данных'!$D$83-AA178)</f>
        <v>981.00000000000011</v>
      </c>
      <c r="AE178" s="1067">
        <v>-22.3</v>
      </c>
      <c r="AF178" s="1067"/>
      <c r="AG178" s="1067">
        <v>31</v>
      </c>
      <c r="AH178" s="1067">
        <f>AG178*('Ввод исходных данных'!$D$83-AE178)</f>
        <v>1249.3</v>
      </c>
      <c r="AI178" s="1068">
        <v>-23.6</v>
      </c>
      <c r="AJ178" s="1068"/>
      <c r="AK178" s="1068">
        <v>31</v>
      </c>
      <c r="AL178" s="1068">
        <f>AK178*('Ввод исходных данных'!$D$83-AI178)</f>
        <v>1289.6000000000001</v>
      </c>
      <c r="AM178" s="1069">
        <v>-21.5</v>
      </c>
      <c r="AN178" s="1069"/>
      <c r="AO178" s="1069">
        <v>28</v>
      </c>
      <c r="AP178" s="1069">
        <f>AO178*('Ввод исходных данных'!$D$83-AM178)</f>
        <v>1106</v>
      </c>
      <c r="AQ178" s="1064">
        <v>-12.9</v>
      </c>
      <c r="AR178" s="1064"/>
      <c r="AS178" s="1064">
        <f t="shared" si="30"/>
        <v>31</v>
      </c>
      <c r="AT178" s="1064">
        <f>AS178*('Ввод исходных данных'!$D$83-AQ178)</f>
        <v>957.9</v>
      </c>
      <c r="AU178" s="1070">
        <v>-2.7</v>
      </c>
      <c r="AV178" s="1070"/>
      <c r="AW178" s="1070">
        <f t="shared" si="31"/>
        <v>30</v>
      </c>
      <c r="AX178" s="1070">
        <f>AW178*('Ввод исходных данных'!$D$83-AU178)</f>
        <v>621</v>
      </c>
      <c r="AY178" s="1071">
        <v>5.0999999999999996</v>
      </c>
      <c r="AZ178" s="1071"/>
      <c r="BA178" s="1071">
        <f t="shared" si="32"/>
        <v>21</v>
      </c>
      <c r="BB178" s="1071">
        <f>BA178*('Ввод исходных данных'!$D$83-AY178)</f>
        <v>270.90000000000003</v>
      </c>
      <c r="BC178" s="1072">
        <v>14.3</v>
      </c>
      <c r="BD178" s="1072"/>
      <c r="BE178" s="1072">
        <f t="shared" si="24"/>
        <v>0</v>
      </c>
      <c r="BF178" s="1073">
        <f>BE178*('Ввод исходных данных'!$D$83-BC178)</f>
        <v>0</v>
      </c>
    </row>
    <row r="179" spans="2:58" ht="15.75" customHeight="1" x14ac:dyDescent="0.25">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5427.2000000000007</v>
      </c>
      <c r="J179" s="1059" t="str">
        <f t="shared" si="23"/>
        <v>5000-6000</v>
      </c>
      <c r="K179" s="1060">
        <v>19.600000000000001</v>
      </c>
      <c r="L179" s="1060"/>
      <c r="M179" s="1061">
        <f t="shared" si="25"/>
        <v>0.5</v>
      </c>
      <c r="N179" s="1062">
        <f>M179*('Ввод исходных данных'!$D$83-K179)</f>
        <v>-0.80000000000000071</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451.40000000000003</v>
      </c>
      <c r="AA179" s="1066">
        <v>-6.4</v>
      </c>
      <c r="AB179" s="1066"/>
      <c r="AC179" s="1066">
        <f t="shared" si="29"/>
        <v>30</v>
      </c>
      <c r="AD179" s="1066">
        <f>AC179*('Ввод исходных данных'!$D$83-AA179)</f>
        <v>732</v>
      </c>
      <c r="AE179" s="1067">
        <v>-13.4</v>
      </c>
      <c r="AF179" s="1067"/>
      <c r="AG179" s="1067">
        <v>31</v>
      </c>
      <c r="AH179" s="1067">
        <f>AG179*('Ввод исходных данных'!$D$83-AE179)</f>
        <v>973.4</v>
      </c>
      <c r="AI179" s="1068">
        <v>-16.3</v>
      </c>
      <c r="AJ179" s="1068"/>
      <c r="AK179" s="1068">
        <v>31</v>
      </c>
      <c r="AL179" s="1068">
        <f>AK179*('Ввод исходных данных'!$D$83-AI179)</f>
        <v>1063.3</v>
      </c>
      <c r="AM179" s="1069">
        <v>-15</v>
      </c>
      <c r="AN179" s="1069"/>
      <c r="AO179" s="1069">
        <v>28</v>
      </c>
      <c r="AP179" s="1069">
        <f>AO179*('Ввод исходных данных'!$D$83-AM179)</f>
        <v>924</v>
      </c>
      <c r="AQ179" s="1064">
        <v>-6.9</v>
      </c>
      <c r="AR179" s="1064"/>
      <c r="AS179" s="1064">
        <f t="shared" si="30"/>
        <v>31</v>
      </c>
      <c r="AT179" s="1064">
        <f>AS179*('Ввод исходных данных'!$D$83-AQ179)</f>
        <v>771.9</v>
      </c>
      <c r="AU179" s="1070">
        <v>4.5999999999999996</v>
      </c>
      <c r="AV179" s="1070"/>
      <c r="AW179" s="1070">
        <f t="shared" si="31"/>
        <v>30</v>
      </c>
      <c r="AX179" s="1070">
        <f>AW179*('Ввод исходных данных'!$D$83-AU179)</f>
        <v>402</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25">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3938.2000000000003</v>
      </c>
      <c r="J180" s="1059" t="str">
        <f t="shared" si="23"/>
        <v>3000-4000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253.70000000000002</v>
      </c>
      <c r="AA180" s="1066">
        <v>-0.5</v>
      </c>
      <c r="AB180" s="1066"/>
      <c r="AC180" s="1066">
        <f t="shared" si="29"/>
        <v>30</v>
      </c>
      <c r="AD180" s="1066">
        <f>AC180*('Ввод исходных данных'!$D$83-AA180)</f>
        <v>555</v>
      </c>
      <c r="AE180" s="1067">
        <v>-5.2</v>
      </c>
      <c r="AF180" s="1067"/>
      <c r="AG180" s="1067">
        <v>31</v>
      </c>
      <c r="AH180" s="1067">
        <f>AG180*('Ввод исходных данных'!$D$83-AE180)</f>
        <v>719.19999999999993</v>
      </c>
      <c r="AI180" s="1068">
        <v>-7.3</v>
      </c>
      <c r="AJ180" s="1068"/>
      <c r="AK180" s="1068">
        <v>31</v>
      </c>
      <c r="AL180" s="1068">
        <f>AK180*('Ввод исходных данных'!$D$83-AI180)</f>
        <v>784.30000000000007</v>
      </c>
      <c r="AM180" s="1069">
        <v>-6.9</v>
      </c>
      <c r="AN180" s="1069"/>
      <c r="AO180" s="1069">
        <v>28</v>
      </c>
      <c r="AP180" s="1069">
        <f>AO180*('Ввод исходных данных'!$D$83-AM180)</f>
        <v>697.19999999999993</v>
      </c>
      <c r="AQ180" s="1064">
        <v>-1.4</v>
      </c>
      <c r="AR180" s="1064"/>
      <c r="AS180" s="1064">
        <f t="shared" si="30"/>
        <v>31</v>
      </c>
      <c r="AT180" s="1064">
        <f>AS180*('Ввод исходных данных'!$D$83-AQ180)</f>
        <v>601.4</v>
      </c>
      <c r="AU180" s="1070">
        <v>7.5</v>
      </c>
      <c r="AV180" s="1070"/>
      <c r="AW180" s="1070">
        <f t="shared" si="31"/>
        <v>21.5</v>
      </c>
      <c r="AX180" s="1070">
        <f>AW180*('Ввод исходных данных'!$D$83-AU180)</f>
        <v>225.75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25">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4765.2</v>
      </c>
      <c r="J181" s="1059" t="str">
        <f t="shared" si="23"/>
        <v>4000-5000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68</v>
      </c>
      <c r="W181" s="1065">
        <v>3.6</v>
      </c>
      <c r="X181" s="1065"/>
      <c r="Y181" s="1065">
        <f t="shared" si="28"/>
        <v>31</v>
      </c>
      <c r="Z181" s="1065">
        <f>Y181*('Ввод исходных данных'!$D$83-W181)</f>
        <v>446.40000000000003</v>
      </c>
      <c r="AA181" s="1066">
        <v>-1.8</v>
      </c>
      <c r="AB181" s="1066"/>
      <c r="AC181" s="1066">
        <f t="shared" si="29"/>
        <v>30</v>
      </c>
      <c r="AD181" s="1066">
        <f>AC181*('Ввод исходных данных'!$D$83-AA181)</f>
        <v>594</v>
      </c>
      <c r="AE181" s="1067">
        <v>-6.6</v>
      </c>
      <c r="AF181" s="1067"/>
      <c r="AG181" s="1067">
        <v>31</v>
      </c>
      <c r="AH181" s="1067">
        <f>AG181*('Ввод исходных данных'!$D$83-AE181)</f>
        <v>762.6</v>
      </c>
      <c r="AI181" s="1068">
        <v>-10.5</v>
      </c>
      <c r="AJ181" s="1068"/>
      <c r="AK181" s="1068">
        <v>31</v>
      </c>
      <c r="AL181" s="1068">
        <f>AK181*('Ввод исходных данных'!$D$83-AI181)</f>
        <v>883.5</v>
      </c>
      <c r="AM181" s="1069">
        <v>-9.3000000000000007</v>
      </c>
      <c r="AN181" s="1069"/>
      <c r="AO181" s="1069">
        <v>28</v>
      </c>
      <c r="AP181" s="1069">
        <f>AO181*('Ввод исходных данных'!$D$83-AM181)</f>
        <v>764.4</v>
      </c>
      <c r="AQ181" s="1064">
        <v>-4.7</v>
      </c>
      <c r="AR181" s="1064"/>
      <c r="AS181" s="1064">
        <f t="shared" si="30"/>
        <v>31</v>
      </c>
      <c r="AT181" s="1064">
        <f>AS181*('Ввод исходных данных'!$D$83-AQ181)</f>
        <v>703.69999999999993</v>
      </c>
      <c r="AU181" s="1070">
        <v>2.8</v>
      </c>
      <c r="AV181" s="1070"/>
      <c r="AW181" s="1070">
        <f t="shared" si="31"/>
        <v>30</v>
      </c>
      <c r="AX181" s="1070">
        <f>AW181*('Ввод исходных данных'!$D$83-AU181)</f>
        <v>456</v>
      </c>
      <c r="AY181" s="1071">
        <v>9.6999999999999993</v>
      </c>
      <c r="AZ181" s="1071"/>
      <c r="BA181" s="1071">
        <f t="shared" si="32"/>
        <v>8</v>
      </c>
      <c r="BB181" s="1071">
        <f>BA181*('Ввод исходных данных'!$D$83-AY181)</f>
        <v>66.400000000000006</v>
      </c>
      <c r="BC181" s="1072">
        <v>14.7</v>
      </c>
      <c r="BD181" s="1072"/>
      <c r="BE181" s="1072">
        <f t="shared" si="24"/>
        <v>0</v>
      </c>
      <c r="BF181" s="1073">
        <f>BE181*('Ввод исходных данных'!$D$83-BC181)</f>
        <v>0</v>
      </c>
    </row>
    <row r="182" spans="2:58" ht="15.75" customHeight="1" x14ac:dyDescent="0.25">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4616.0999999999995</v>
      </c>
      <c r="J182" s="1059" t="str">
        <f t="shared" si="23"/>
        <v>4000-5000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45.650000000000006</v>
      </c>
      <c r="W182" s="1065">
        <v>4</v>
      </c>
      <c r="X182" s="1065"/>
      <c r="Y182" s="1065">
        <f t="shared" si="28"/>
        <v>31</v>
      </c>
      <c r="Z182" s="1065">
        <f>Y182*('Ввод исходных данных'!$D$83-W182)</f>
        <v>434</v>
      </c>
      <c r="AA182" s="1066">
        <v>-1.9</v>
      </c>
      <c r="AB182" s="1066"/>
      <c r="AC182" s="1066">
        <f t="shared" si="29"/>
        <v>30</v>
      </c>
      <c r="AD182" s="1066">
        <f>AC182*('Ввод исходных данных'!$D$83-AA182)</f>
        <v>597</v>
      </c>
      <c r="AE182" s="1067">
        <v>-6.5</v>
      </c>
      <c r="AF182" s="1067"/>
      <c r="AG182" s="1067">
        <v>31</v>
      </c>
      <c r="AH182" s="1067">
        <f>AG182*('Ввод исходных данных'!$D$83-AE182)</f>
        <v>759.5</v>
      </c>
      <c r="AI182" s="1068">
        <v>-9.3000000000000007</v>
      </c>
      <c r="AJ182" s="1068"/>
      <c r="AK182" s="1068">
        <v>31</v>
      </c>
      <c r="AL182" s="1068">
        <f>AK182*('Ввод исходных данных'!$D$83-AI182)</f>
        <v>846.30000000000007</v>
      </c>
      <c r="AM182" s="1069">
        <v>-8.4</v>
      </c>
      <c r="AN182" s="1069"/>
      <c r="AO182" s="1069">
        <v>28</v>
      </c>
      <c r="AP182" s="1069">
        <f>AO182*('Ввод исходных данных'!$D$83-AM182)</f>
        <v>739.19999999999993</v>
      </c>
      <c r="AQ182" s="1064">
        <v>-2.8</v>
      </c>
      <c r="AR182" s="1064"/>
      <c r="AS182" s="1064">
        <f t="shared" si="30"/>
        <v>31</v>
      </c>
      <c r="AT182" s="1064">
        <f>AS182*('Ввод исходных данных'!$D$83-AQ182)</f>
        <v>644.80000000000007</v>
      </c>
      <c r="AU182" s="1070">
        <v>3.7</v>
      </c>
      <c r="AV182" s="1070"/>
      <c r="AW182" s="1070">
        <f t="shared" si="31"/>
        <v>30</v>
      </c>
      <c r="AX182" s="1070">
        <f>AW182*('Ввод исходных данных'!$D$83-AU182)</f>
        <v>429</v>
      </c>
      <c r="AY182" s="1071">
        <v>10.4</v>
      </c>
      <c r="AZ182" s="1071"/>
      <c r="BA182" s="1071">
        <f t="shared" si="32"/>
        <v>5.5</v>
      </c>
      <c r="BB182" s="1071">
        <f>BA182*('Ввод исходных данных'!$D$83-AY182)</f>
        <v>41.8</v>
      </c>
      <c r="BC182" s="1072">
        <v>15.1</v>
      </c>
      <c r="BD182" s="1072"/>
      <c r="BE182" s="1072">
        <f t="shared" si="24"/>
        <v>0</v>
      </c>
      <c r="BF182" s="1073">
        <f>BE182*('Ввод исходных данных'!$D$83-BC182)</f>
        <v>0</v>
      </c>
    </row>
    <row r="183" spans="2:58" ht="15.75" customHeight="1" x14ac:dyDescent="0.25">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4322.7999999999993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318.75</v>
      </c>
      <c r="AA183" s="1066">
        <v>-1.5</v>
      </c>
      <c r="AB183" s="1066"/>
      <c r="AC183" s="1066">
        <f t="shared" si="29"/>
        <v>30</v>
      </c>
      <c r="AD183" s="1066">
        <f>AC183*('Ввод исходных данных'!$D$83-AA183)</f>
        <v>585</v>
      </c>
      <c r="AE183" s="1067">
        <v>-7.1</v>
      </c>
      <c r="AF183" s="1067"/>
      <c r="AG183" s="1067">
        <v>31</v>
      </c>
      <c r="AH183" s="1067">
        <f>AG183*('Ввод исходных данных'!$D$83-AE183)</f>
        <v>778.1</v>
      </c>
      <c r="AI183" s="1068">
        <v>-10.3</v>
      </c>
      <c r="AJ183" s="1068"/>
      <c r="AK183" s="1068">
        <v>31</v>
      </c>
      <c r="AL183" s="1068">
        <f>AK183*('Ввод исходных данных'!$D$83-AI183)</f>
        <v>877.30000000000007</v>
      </c>
      <c r="AM183" s="1069">
        <v>-9.5</v>
      </c>
      <c r="AN183" s="1069"/>
      <c r="AO183" s="1069">
        <v>28</v>
      </c>
      <c r="AP183" s="1069">
        <f>AO183*('Ввод исходных данных'!$D$83-AM183)</f>
        <v>770</v>
      </c>
      <c r="AQ183" s="1064">
        <v>-4.4000000000000004</v>
      </c>
      <c r="AR183" s="1064"/>
      <c r="AS183" s="1064">
        <f t="shared" si="30"/>
        <v>31</v>
      </c>
      <c r="AT183" s="1064">
        <f>AS183*('Ввод исходных данных'!$D$83-AQ183)</f>
        <v>694.4</v>
      </c>
      <c r="AU183" s="1070">
        <v>5.5</v>
      </c>
      <c r="AV183" s="1070"/>
      <c r="AW183" s="1070">
        <f t="shared" si="31"/>
        <v>25.5</v>
      </c>
      <c r="AX183" s="1070">
        <f>AW183*('Ввод исходных данных'!$D$83-AU183)</f>
        <v>318.75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25">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10693</v>
      </c>
      <c r="J184" s="1059" t="str">
        <f t="shared" si="23"/>
        <v>10000-11000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46.400000000000006</v>
      </c>
      <c r="S184" s="1064">
        <v>7.8</v>
      </c>
      <c r="T184" s="1064"/>
      <c r="U184" s="1064">
        <f t="shared" si="27"/>
        <v>30</v>
      </c>
      <c r="V184" s="1064">
        <f>U184*('Ввод исходных данных'!$D$83-S184)</f>
        <v>306</v>
      </c>
      <c r="W184" s="1065">
        <v>-1.1000000000000001</v>
      </c>
      <c r="X184" s="1065"/>
      <c r="Y184" s="1065">
        <f t="shared" si="28"/>
        <v>31</v>
      </c>
      <c r="Z184" s="1065">
        <f>Y184*('Ввод исходных данных'!$D$83-W184)</f>
        <v>592.1</v>
      </c>
      <c r="AA184" s="1066">
        <v>-10.7</v>
      </c>
      <c r="AB184" s="1066"/>
      <c r="AC184" s="1066">
        <f t="shared" si="29"/>
        <v>30</v>
      </c>
      <c r="AD184" s="1066">
        <f>AC184*('Ввод исходных данных'!$D$83-AA184)</f>
        <v>861</v>
      </c>
      <c r="AE184" s="1067">
        <v>-15.8</v>
      </c>
      <c r="AF184" s="1067"/>
      <c r="AG184" s="1067">
        <v>31</v>
      </c>
      <c r="AH184" s="1067">
        <f>AG184*('Ввод исходных данных'!$D$83-AE184)</f>
        <v>1047.8</v>
      </c>
      <c r="AI184" s="1068">
        <v>-19.600000000000001</v>
      </c>
      <c r="AJ184" s="1068"/>
      <c r="AK184" s="1068">
        <v>31</v>
      </c>
      <c r="AL184" s="1068">
        <f>AK184*('Ввод исходных данных'!$D$83-AI184)</f>
        <v>1165.6000000000001</v>
      </c>
      <c r="AM184" s="1069">
        <v>-19.2</v>
      </c>
      <c r="AN184" s="1069"/>
      <c r="AO184" s="1069">
        <v>28</v>
      </c>
      <c r="AP184" s="1069">
        <f>AO184*('Ввод исходных данных'!$D$83-AM184)</f>
        <v>1041.6000000000001</v>
      </c>
      <c r="AQ184" s="1064">
        <v>-16.7</v>
      </c>
      <c r="AR184" s="1064"/>
      <c r="AS184" s="1064">
        <f t="shared" si="30"/>
        <v>31</v>
      </c>
      <c r="AT184" s="1064">
        <f>AS184*('Ввод исходных данных'!$D$83-AQ184)</f>
        <v>1075.7</v>
      </c>
      <c r="AU184" s="1070">
        <v>-8.6999999999999993</v>
      </c>
      <c r="AV184" s="1070"/>
      <c r="AW184" s="1070">
        <f t="shared" si="31"/>
        <v>30</v>
      </c>
      <c r="AX184" s="1070">
        <f>AW184*('Ввод исходных данных'!$D$83-AU184)</f>
        <v>801</v>
      </c>
      <c r="AY184" s="1071">
        <v>-0.5</v>
      </c>
      <c r="AZ184" s="1071"/>
      <c r="BA184" s="1071">
        <f t="shared" si="32"/>
        <v>31</v>
      </c>
      <c r="BB184" s="1071">
        <f>BA184*('Ввод исходных данных'!$D$83-AY184)</f>
        <v>573.5</v>
      </c>
      <c r="BC184" s="1072">
        <v>5.8</v>
      </c>
      <c r="BD184" s="1072"/>
      <c r="BE184" s="1072">
        <f t="shared" si="24"/>
        <v>8</v>
      </c>
      <c r="BF184" s="1073">
        <f>BE184*('Ввод исходных данных'!$D$83-BC184)</f>
        <v>97.6</v>
      </c>
    </row>
    <row r="185" spans="2:58" ht="15.75" customHeight="1" x14ac:dyDescent="0.25">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7589.4000000000005</v>
      </c>
      <c r="J185" s="1059" t="str">
        <f t="shared" si="23"/>
        <v>7000-8000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14.249999999999998</v>
      </c>
      <c r="S185" s="1064">
        <v>7.9</v>
      </c>
      <c r="T185" s="1064"/>
      <c r="U185" s="1064">
        <f t="shared" si="27"/>
        <v>30</v>
      </c>
      <c r="V185" s="1064">
        <f>U185*('Ввод исходных данных'!$D$83-S185)</f>
        <v>303</v>
      </c>
      <c r="W185" s="1065">
        <v>-0.4</v>
      </c>
      <c r="X185" s="1065"/>
      <c r="Y185" s="1065">
        <f t="shared" si="28"/>
        <v>31</v>
      </c>
      <c r="Z185" s="1065">
        <f>Y185*('Ввод исходных данных'!$D$83-W185)</f>
        <v>570.4</v>
      </c>
      <c r="AA185" s="1066">
        <v>-10.199999999999999</v>
      </c>
      <c r="AB185" s="1066"/>
      <c r="AC185" s="1066">
        <f t="shared" si="29"/>
        <v>30</v>
      </c>
      <c r="AD185" s="1066">
        <f>AC185*('Ввод исходных данных'!$D$83-AA185)</f>
        <v>846</v>
      </c>
      <c r="AE185" s="1067">
        <v>-16.3</v>
      </c>
      <c r="AF185" s="1067"/>
      <c r="AG185" s="1067">
        <v>31</v>
      </c>
      <c r="AH185" s="1067">
        <f>AG185*('Ввод исходных данных'!$D$83-AE185)</f>
        <v>1063.3</v>
      </c>
      <c r="AI185" s="1068">
        <v>-19.7</v>
      </c>
      <c r="AJ185" s="1068"/>
      <c r="AK185" s="1068">
        <v>31</v>
      </c>
      <c r="AL185" s="1068">
        <f>AK185*('Ввод исходных данных'!$D$83-AI185)</f>
        <v>1168.7</v>
      </c>
      <c r="AM185" s="1069">
        <v>-19.5</v>
      </c>
      <c r="AN185" s="1069"/>
      <c r="AO185" s="1069">
        <v>28</v>
      </c>
      <c r="AP185" s="1069">
        <f>AO185*('Ввод исходных данных'!$D$83-AM185)</f>
        <v>1050</v>
      </c>
      <c r="AQ185" s="1064">
        <v>-15.5</v>
      </c>
      <c r="AR185" s="1064"/>
      <c r="AS185" s="1064">
        <f t="shared" si="30"/>
        <v>31</v>
      </c>
      <c r="AT185" s="1064">
        <f>AS185*('Ввод исходных данных'!$D$83-AQ185)</f>
        <v>1038.5</v>
      </c>
      <c r="AU185" s="1070">
        <v>-8</v>
      </c>
      <c r="AV185" s="1070"/>
      <c r="AW185" s="1070">
        <f t="shared" si="31"/>
        <v>30</v>
      </c>
      <c r="AX185" s="1070">
        <f>AW185*('Ввод исходных данных'!$D$83-AU185)</f>
        <v>780</v>
      </c>
      <c r="AY185" s="1071">
        <v>0</v>
      </c>
      <c r="AZ185" s="1071"/>
      <c r="BA185" s="1071">
        <f t="shared" si="32"/>
        <v>31</v>
      </c>
      <c r="BB185" s="1071">
        <f>BA185*('Ввод исходных данных'!$D$83-AY185)</f>
        <v>558</v>
      </c>
      <c r="BC185" s="1072">
        <v>6.9</v>
      </c>
      <c r="BD185" s="1072"/>
      <c r="BE185" s="1072">
        <f t="shared" si="24"/>
        <v>2.5</v>
      </c>
      <c r="BF185" s="1073">
        <f>BE185*('Ввод исходных данных'!$D$83-BC185)</f>
        <v>27.75</v>
      </c>
    </row>
    <row r="186" spans="2:58" ht="15.75" customHeight="1" x14ac:dyDescent="0.25">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7114.5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18.299999999999997</v>
      </c>
      <c r="S186" s="1064">
        <v>7.3</v>
      </c>
      <c r="T186" s="1064"/>
      <c r="U186" s="1064">
        <f t="shared" si="27"/>
        <v>30</v>
      </c>
      <c r="V186" s="1064">
        <f>U186*('Ввод исходных данных'!$D$83-S186)</f>
        <v>321</v>
      </c>
      <c r="W186" s="1065">
        <v>-1.3</v>
      </c>
      <c r="X186" s="1065"/>
      <c r="Y186" s="1065">
        <f t="shared" si="28"/>
        <v>31</v>
      </c>
      <c r="Z186" s="1065">
        <f>Y186*('Ввод исходных данных'!$D$83-W186)</f>
        <v>598.30000000000007</v>
      </c>
      <c r="AA186" s="1066">
        <v>-10.5</v>
      </c>
      <c r="AB186" s="1066"/>
      <c r="AC186" s="1066">
        <f t="shared" si="29"/>
        <v>30</v>
      </c>
      <c r="AD186" s="1066">
        <f>AC186*('Ввод исходных данных'!$D$83-AA186)</f>
        <v>855</v>
      </c>
      <c r="AE186" s="1067">
        <v>-15</v>
      </c>
      <c r="AF186" s="1067"/>
      <c r="AG186" s="1067">
        <v>31</v>
      </c>
      <c r="AH186" s="1067">
        <f>AG186*('Ввод исходных данных'!$D$83-AE186)</f>
        <v>1023</v>
      </c>
      <c r="AI186" s="1068">
        <v>-16.7</v>
      </c>
      <c r="AJ186" s="1068"/>
      <c r="AK186" s="1068">
        <v>31</v>
      </c>
      <c r="AL186" s="1068">
        <f>AK186*('Ввод исходных данных'!$D$83-AI186)</f>
        <v>1075.7</v>
      </c>
      <c r="AM186" s="1069">
        <v>-15.6</v>
      </c>
      <c r="AN186" s="1069"/>
      <c r="AO186" s="1069">
        <v>28</v>
      </c>
      <c r="AP186" s="1069">
        <f>AO186*('Ввод исходных данных'!$D$83-AM186)</f>
        <v>940.80000000000007</v>
      </c>
      <c r="AQ186" s="1064">
        <v>-11.5</v>
      </c>
      <c r="AR186" s="1064"/>
      <c r="AS186" s="1064">
        <f t="shared" si="30"/>
        <v>31</v>
      </c>
      <c r="AT186" s="1064">
        <f>AS186*('Ввод исходных данных'!$D$83-AQ186)</f>
        <v>914.5</v>
      </c>
      <c r="AU186" s="1070">
        <v>-4.9000000000000004</v>
      </c>
      <c r="AV186" s="1070"/>
      <c r="AW186" s="1070">
        <f t="shared" si="31"/>
        <v>30</v>
      </c>
      <c r="AX186" s="1070">
        <f>AW186*('Ввод исходных данных'!$D$83-AU186)</f>
        <v>687</v>
      </c>
      <c r="AY186" s="1071">
        <v>1.5</v>
      </c>
      <c r="AZ186" s="1071"/>
      <c r="BA186" s="1071">
        <f t="shared" si="32"/>
        <v>31</v>
      </c>
      <c r="BB186" s="1071">
        <f>BA186*('Ввод исходных данных'!$D$83-AY186)</f>
        <v>511.5</v>
      </c>
      <c r="BC186" s="1072">
        <v>7.4</v>
      </c>
      <c r="BD186" s="1072"/>
      <c r="BE186" s="1072">
        <f t="shared" si="24"/>
        <v>3</v>
      </c>
      <c r="BF186" s="1073">
        <f>BE186*('Ввод исходных данных'!$D$83-BC186)</f>
        <v>31.799999999999997</v>
      </c>
    </row>
    <row r="187" spans="2:58" ht="15.75" customHeight="1" x14ac:dyDescent="0.25">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10067.200000000001</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48.1</v>
      </c>
      <c r="S187" s="1064">
        <v>3.1</v>
      </c>
      <c r="T187" s="1064"/>
      <c r="U187" s="1064">
        <f t="shared" si="27"/>
        <v>30</v>
      </c>
      <c r="V187" s="1064">
        <f>U187*('Ввод исходных данных'!$D$83-S187)</f>
        <v>447</v>
      </c>
      <c r="W187" s="1065">
        <v>-11.3</v>
      </c>
      <c r="X187" s="1065"/>
      <c r="Y187" s="1065">
        <f t="shared" si="28"/>
        <v>31</v>
      </c>
      <c r="Z187" s="1065">
        <f>Y187*('Ввод исходных данных'!$D$83-W187)</f>
        <v>908.30000000000007</v>
      </c>
      <c r="AA187" s="1066">
        <v>-26.5</v>
      </c>
      <c r="AB187" s="1066"/>
      <c r="AC187" s="1066">
        <f t="shared" si="29"/>
        <v>30</v>
      </c>
      <c r="AD187" s="1066">
        <f>AC187*('Ввод исходных данных'!$D$83-AA187)</f>
        <v>1335</v>
      </c>
      <c r="AE187" s="1067">
        <v>-32.5</v>
      </c>
      <c r="AF187" s="1067"/>
      <c r="AG187" s="1067">
        <v>31</v>
      </c>
      <c r="AH187" s="1067">
        <f>AG187*('Ввод исходных данных'!$D$83-AE187)</f>
        <v>1565.5</v>
      </c>
      <c r="AI187" s="1068">
        <v>-33.4</v>
      </c>
      <c r="AJ187" s="1068"/>
      <c r="AK187" s="1068">
        <v>31</v>
      </c>
      <c r="AL187" s="1068">
        <f>AK187*('Ввод исходных данных'!$D$83-AI187)</f>
        <v>1593.3999999999999</v>
      </c>
      <c r="AM187" s="1069">
        <v>-31</v>
      </c>
      <c r="AN187" s="1069"/>
      <c r="AO187" s="1069">
        <v>28</v>
      </c>
      <c r="AP187" s="1069">
        <f>AO187*('Ввод исходных данных'!$D$83-AM187)</f>
        <v>1372</v>
      </c>
      <c r="AQ187" s="1064">
        <v>-24.3</v>
      </c>
      <c r="AR187" s="1064"/>
      <c r="AS187" s="1064">
        <f t="shared" si="30"/>
        <v>31</v>
      </c>
      <c r="AT187" s="1064">
        <f>AS187*('Ввод исходных данных'!$D$83-AQ187)</f>
        <v>1311.3</v>
      </c>
      <c r="AU187" s="1070">
        <v>-12.4</v>
      </c>
      <c r="AV187" s="1070"/>
      <c r="AW187" s="1070">
        <f t="shared" si="31"/>
        <v>30</v>
      </c>
      <c r="AX187" s="1070">
        <f>AW187*('Ввод исходных данных'!$D$83-AU187)</f>
        <v>912</v>
      </c>
      <c r="AY187" s="1071">
        <v>0.8</v>
      </c>
      <c r="AZ187" s="1071"/>
      <c r="BA187" s="1071">
        <f t="shared" si="32"/>
        <v>31</v>
      </c>
      <c r="BB187" s="1071">
        <f>BA187*('Ввод исходных данных'!$D$83-AY187)</f>
        <v>533.19999999999993</v>
      </c>
      <c r="BC187" s="1072">
        <v>10.1</v>
      </c>
      <c r="BD187" s="1072"/>
      <c r="BE187" s="1072">
        <f t="shared" si="24"/>
        <v>6.5</v>
      </c>
      <c r="BF187" s="1073">
        <f>BE187*('Ввод исходных данных'!$D$83-BC187)</f>
        <v>51.35</v>
      </c>
    </row>
    <row r="188" spans="2:58" ht="15.75" customHeight="1" x14ac:dyDescent="0.25">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8036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22.400000000000002</v>
      </c>
      <c r="S188" s="1064">
        <v>5.2</v>
      </c>
      <c r="T188" s="1064"/>
      <c r="U188" s="1064">
        <f t="shared" si="27"/>
        <v>30</v>
      </c>
      <c r="V188" s="1064">
        <f>U188*('Ввод исходных данных'!$D$83-S188)</f>
        <v>384</v>
      </c>
      <c r="W188" s="1065">
        <v>-6.7</v>
      </c>
      <c r="X188" s="1065"/>
      <c r="Y188" s="1065">
        <f t="shared" si="28"/>
        <v>31</v>
      </c>
      <c r="Z188" s="1065">
        <f>Y188*('Ввод исходных данных'!$D$83-W188)</f>
        <v>765.69999999999993</v>
      </c>
      <c r="AA188" s="1066">
        <v>-16.7</v>
      </c>
      <c r="AB188" s="1066"/>
      <c r="AC188" s="1066">
        <f t="shared" si="29"/>
        <v>30</v>
      </c>
      <c r="AD188" s="1066">
        <f>AC188*('Ввод исходных данных'!$D$83-AA188)</f>
        <v>1041</v>
      </c>
      <c r="AE188" s="1067">
        <v>-20.3</v>
      </c>
      <c r="AF188" s="1067"/>
      <c r="AG188" s="1067">
        <v>31</v>
      </c>
      <c r="AH188" s="1067">
        <f>AG188*('Ввод исходных данных'!$D$83-AE188)</f>
        <v>1187.3</v>
      </c>
      <c r="AI188" s="1068">
        <v>-22.1</v>
      </c>
      <c r="AJ188" s="1068"/>
      <c r="AK188" s="1068">
        <v>31</v>
      </c>
      <c r="AL188" s="1068">
        <f>AK188*('Ввод исходных данных'!$D$83-AI188)</f>
        <v>1243.1000000000001</v>
      </c>
      <c r="AM188" s="1069">
        <v>-20.2</v>
      </c>
      <c r="AN188" s="1069"/>
      <c r="AO188" s="1069">
        <v>28</v>
      </c>
      <c r="AP188" s="1069">
        <f>AO188*('Ввод исходных данных'!$D$83-AM188)</f>
        <v>1069.6000000000001</v>
      </c>
      <c r="AQ188" s="1064">
        <v>-16.3</v>
      </c>
      <c r="AR188" s="1064"/>
      <c r="AS188" s="1064">
        <f t="shared" si="30"/>
        <v>31</v>
      </c>
      <c r="AT188" s="1064">
        <f>AS188*('Ввод исходных данных'!$D$83-AQ188)</f>
        <v>1063.3</v>
      </c>
      <c r="AU188" s="1070">
        <v>-7.7</v>
      </c>
      <c r="AV188" s="1070"/>
      <c r="AW188" s="1070">
        <f t="shared" si="31"/>
        <v>30</v>
      </c>
      <c r="AX188" s="1070">
        <f>AW188*('Ввод исходных данных'!$D$83-AU188)</f>
        <v>771</v>
      </c>
      <c r="AY188" s="1071">
        <v>2.2999999999999998</v>
      </c>
      <c r="AZ188" s="1071"/>
      <c r="BA188" s="1071">
        <f t="shared" si="32"/>
        <v>31</v>
      </c>
      <c r="BB188" s="1071">
        <f>BA188*('Ввод исходных данных'!$D$83-AY188)</f>
        <v>486.7</v>
      </c>
      <c r="BC188" s="1072">
        <v>9.4</v>
      </c>
      <c r="BD188" s="1072"/>
      <c r="BE188" s="1072">
        <f t="shared" si="24"/>
        <v>3.5</v>
      </c>
      <c r="BF188" s="1073">
        <f>BE188*('Ввод исходных данных'!$D$83-BC188)</f>
        <v>30.099999999999998</v>
      </c>
    </row>
    <row r="189" spans="2:58" ht="15.75" customHeight="1" x14ac:dyDescent="0.25">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10220.199999999999</v>
      </c>
      <c r="J189" s="1059" t="str">
        <f t="shared" si="23"/>
        <v>10000-11000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3.05</v>
      </c>
      <c r="S189" s="1064">
        <v>4</v>
      </c>
      <c r="T189" s="1064"/>
      <c r="U189" s="1064">
        <f t="shared" si="27"/>
        <v>30</v>
      </c>
      <c r="V189" s="1064">
        <f>U189*('Ввод исходных данных'!$D$83-S189)</f>
        <v>420</v>
      </c>
      <c r="W189" s="1065">
        <v>-11.3</v>
      </c>
      <c r="X189" s="1065"/>
      <c r="Y189" s="1065">
        <f t="shared" si="28"/>
        <v>31</v>
      </c>
      <c r="Z189" s="1065">
        <f>Y189*('Ввод исходных данных'!$D$83-W189)</f>
        <v>908.30000000000007</v>
      </c>
      <c r="AA189" s="1066">
        <v>-28.6</v>
      </c>
      <c r="AB189" s="1066"/>
      <c r="AC189" s="1066">
        <f t="shared" si="29"/>
        <v>30</v>
      </c>
      <c r="AD189" s="1066">
        <f>AC189*('Ввод исходных данных'!$D$83-AA189)</f>
        <v>1398</v>
      </c>
      <c r="AE189" s="1067">
        <v>-35.799999999999997</v>
      </c>
      <c r="AF189" s="1067"/>
      <c r="AG189" s="1067">
        <v>31</v>
      </c>
      <c r="AH189" s="1067">
        <f>AG189*('Ввод исходных данных'!$D$83-AE189)</f>
        <v>1667.8</v>
      </c>
      <c r="AI189" s="1068">
        <v>-36.6</v>
      </c>
      <c r="AJ189" s="1068"/>
      <c r="AK189" s="1068">
        <v>31</v>
      </c>
      <c r="AL189" s="1068">
        <f>AK189*('Ввод исходных данных'!$D$83-AI189)</f>
        <v>1692.6000000000001</v>
      </c>
      <c r="AM189" s="1069">
        <v>-33.4</v>
      </c>
      <c r="AN189" s="1069"/>
      <c r="AO189" s="1069">
        <v>28</v>
      </c>
      <c r="AP189" s="1069">
        <f>AO189*('Ввод исходных данных'!$D$83-AM189)</f>
        <v>1439.2</v>
      </c>
      <c r="AQ189" s="1064">
        <v>-25.8</v>
      </c>
      <c r="AR189" s="1064"/>
      <c r="AS189" s="1064">
        <f t="shared" si="30"/>
        <v>31</v>
      </c>
      <c r="AT189" s="1064">
        <f>AS189*('Ввод исходных данных'!$D$83-AQ189)</f>
        <v>1357.8</v>
      </c>
      <c r="AU189" s="1070">
        <v>-12</v>
      </c>
      <c r="AV189" s="1070"/>
      <c r="AW189" s="1070">
        <f t="shared" si="31"/>
        <v>30</v>
      </c>
      <c r="AX189" s="1070">
        <f>AW189*('Ввод исходных данных'!$D$83-AU189)</f>
        <v>900</v>
      </c>
      <c r="AY189" s="1071">
        <v>2.8</v>
      </c>
      <c r="AZ189" s="1071"/>
      <c r="BA189" s="1071">
        <f t="shared" si="32"/>
        <v>31</v>
      </c>
      <c r="BB189" s="1071">
        <f>BA189*('Ввод исходных данных'!$D$83-AY189)</f>
        <v>471.2</v>
      </c>
      <c r="BC189" s="1072">
        <v>13</v>
      </c>
      <c r="BD189" s="1072"/>
      <c r="BE189" s="1072">
        <f t="shared" si="24"/>
        <v>0.5</v>
      </c>
      <c r="BF189" s="1073">
        <f>BE189*('Ввод исходных данных'!$D$83-BC189)</f>
        <v>2.5</v>
      </c>
    </row>
    <row r="190" spans="2:58" ht="15.75" customHeight="1" x14ac:dyDescent="0.25">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10631.199999999999</v>
      </c>
      <c r="J190" s="1059" t="str">
        <f t="shared" si="23"/>
        <v>10000-11000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3.8</v>
      </c>
      <c r="S190" s="1064">
        <v>2.5</v>
      </c>
      <c r="T190" s="1064"/>
      <c r="U190" s="1064">
        <f t="shared" si="27"/>
        <v>30</v>
      </c>
      <c r="V190" s="1064">
        <f>U190*('Ввод исходных данных'!$D$83-S190)</f>
        <v>465</v>
      </c>
      <c r="W190" s="1065">
        <v>-13.5</v>
      </c>
      <c r="X190" s="1065"/>
      <c r="Y190" s="1065">
        <f t="shared" si="28"/>
        <v>31</v>
      </c>
      <c r="Z190" s="1065">
        <f>Y190*('Ввод исходных данных'!$D$83-W190)</f>
        <v>976.5</v>
      </c>
      <c r="AA190" s="1066">
        <v>-29.6</v>
      </c>
      <c r="AB190" s="1066"/>
      <c r="AC190" s="1066">
        <f t="shared" si="29"/>
        <v>30</v>
      </c>
      <c r="AD190" s="1066">
        <f>AC190*('Ввод исходных данных'!$D$83-AA190)</f>
        <v>1428</v>
      </c>
      <c r="AE190" s="1067">
        <v>-37.700000000000003</v>
      </c>
      <c r="AF190" s="1067"/>
      <c r="AG190" s="1067">
        <v>31</v>
      </c>
      <c r="AH190" s="1067">
        <f>AG190*('Ввод исходных данных'!$D$83-AE190)</f>
        <v>1726.7</v>
      </c>
      <c r="AI190" s="1068">
        <v>-37.700000000000003</v>
      </c>
      <c r="AJ190" s="1068"/>
      <c r="AK190" s="1068">
        <v>31</v>
      </c>
      <c r="AL190" s="1068">
        <f>AK190*('Ввод исходных данных'!$D$83-AI190)</f>
        <v>1726.7</v>
      </c>
      <c r="AM190" s="1069">
        <v>-33.6</v>
      </c>
      <c r="AN190" s="1069"/>
      <c r="AO190" s="1069">
        <v>28</v>
      </c>
      <c r="AP190" s="1069">
        <f>AO190*('Ввод исходных данных'!$D$83-AM190)</f>
        <v>1444.8</v>
      </c>
      <c r="AQ190" s="1064">
        <v>-24.7</v>
      </c>
      <c r="AR190" s="1064"/>
      <c r="AS190" s="1064">
        <f t="shared" si="30"/>
        <v>31</v>
      </c>
      <c r="AT190" s="1064">
        <f>AS190*('Ввод исходных данных'!$D$83-AQ190)</f>
        <v>1323.7</v>
      </c>
      <c r="AU190" s="1070">
        <v>-11.9</v>
      </c>
      <c r="AV190" s="1070"/>
      <c r="AW190" s="1070">
        <f t="shared" si="31"/>
        <v>30</v>
      </c>
      <c r="AX190" s="1070">
        <f>AW190*('Ввод исходных данных'!$D$83-AU190)</f>
        <v>897</v>
      </c>
      <c r="AY190" s="1071">
        <v>2.6</v>
      </c>
      <c r="AZ190" s="1071"/>
      <c r="BA190" s="1071">
        <f t="shared" si="32"/>
        <v>31</v>
      </c>
      <c r="BB190" s="1071">
        <f>BA190*('Ввод исходных данных'!$D$83-AY190)</f>
        <v>477.40000000000003</v>
      </c>
      <c r="BC190" s="1072">
        <v>11.9</v>
      </c>
      <c r="BD190" s="1072"/>
      <c r="BE190" s="1072">
        <f t="shared" si="24"/>
        <v>0.5</v>
      </c>
      <c r="BF190" s="1073">
        <f>BE190*('Ввод исходных данных'!$D$83-BC190)</f>
        <v>3.05</v>
      </c>
    </row>
    <row r="191" spans="2:58" ht="15.75" customHeight="1" x14ac:dyDescent="0.25">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4141</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345.6</v>
      </c>
      <c r="AA191" s="1066">
        <v>-1.1000000000000001</v>
      </c>
      <c r="AB191" s="1066"/>
      <c r="AC191" s="1066">
        <f t="shared" si="29"/>
        <v>30</v>
      </c>
      <c r="AD191" s="1066">
        <f>AC191*('Ввод исходных данных'!$D$83-AA191)</f>
        <v>573</v>
      </c>
      <c r="AE191" s="1067">
        <v>-5.6</v>
      </c>
      <c r="AF191" s="1067"/>
      <c r="AG191" s="1067">
        <v>31</v>
      </c>
      <c r="AH191" s="1067">
        <f>AG191*('Ввод исходных данных'!$D$83-AE191)</f>
        <v>731.6</v>
      </c>
      <c r="AI191" s="1068">
        <v>-7.8</v>
      </c>
      <c r="AJ191" s="1068"/>
      <c r="AK191" s="1068">
        <v>31</v>
      </c>
      <c r="AL191" s="1068">
        <f>AK191*('Ввод исходных данных'!$D$83-AI191)</f>
        <v>799.80000000000007</v>
      </c>
      <c r="AM191" s="1069">
        <v>-7.1</v>
      </c>
      <c r="AN191" s="1069"/>
      <c r="AO191" s="1069">
        <v>28</v>
      </c>
      <c r="AP191" s="1069">
        <f>AO191*('Ввод исходных данных'!$D$83-AM191)</f>
        <v>702.80000000000007</v>
      </c>
      <c r="AQ191" s="1064">
        <v>-1.3</v>
      </c>
      <c r="AR191" s="1064"/>
      <c r="AS191" s="1064">
        <f t="shared" si="30"/>
        <v>31</v>
      </c>
      <c r="AT191" s="1064">
        <f>AS191*('Ввод исходных данных'!$D$83-AQ191)</f>
        <v>598.30000000000007</v>
      </c>
      <c r="AU191" s="1070">
        <v>6.4</v>
      </c>
      <c r="AV191" s="1070"/>
      <c r="AW191" s="1070">
        <f t="shared" si="31"/>
        <v>27</v>
      </c>
      <c r="AX191" s="1070">
        <f>AW191*('Ввод исходных данных'!$D$83-AU191)</f>
        <v>313.2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25">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4557.6000000000004</v>
      </c>
      <c r="J192" s="1059" t="str">
        <f t="shared" si="23"/>
        <v>4000-5000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15.399999999999999</v>
      </c>
      <c r="W192" s="1065">
        <v>4</v>
      </c>
      <c r="X192" s="1065"/>
      <c r="Y192" s="1065">
        <f t="shared" si="28"/>
        <v>31</v>
      </c>
      <c r="Z192" s="1065">
        <f>Y192*('Ввод исходных данных'!$D$83-W192)</f>
        <v>434</v>
      </c>
      <c r="AA192" s="1066">
        <v>-2.4</v>
      </c>
      <c r="AB192" s="1066"/>
      <c r="AC192" s="1066">
        <f t="shared" si="29"/>
        <v>30</v>
      </c>
      <c r="AD192" s="1066">
        <f>AC192*('Ввод исходных данных'!$D$83-AA192)</f>
        <v>612</v>
      </c>
      <c r="AE192" s="1067">
        <v>-7.2</v>
      </c>
      <c r="AF192" s="1067"/>
      <c r="AG192" s="1067">
        <v>31</v>
      </c>
      <c r="AH192" s="1067">
        <f>AG192*('Ввод исходных данных'!$D$83-AE192)</f>
        <v>781.19999999999993</v>
      </c>
      <c r="AI192" s="1068">
        <v>-10.4</v>
      </c>
      <c r="AJ192" s="1068"/>
      <c r="AK192" s="1068">
        <v>31</v>
      </c>
      <c r="AL192" s="1068">
        <f>AK192*('Ввод исходных данных'!$D$83-AI192)</f>
        <v>880.4</v>
      </c>
      <c r="AM192" s="1069">
        <v>-9.5</v>
      </c>
      <c r="AN192" s="1069"/>
      <c r="AO192" s="1069">
        <v>28</v>
      </c>
      <c r="AP192" s="1069">
        <f>AO192*('Ввод исходных данных'!$D$83-AM192)</f>
        <v>770</v>
      </c>
      <c r="AQ192" s="1064">
        <v>-4.4000000000000004</v>
      </c>
      <c r="AR192" s="1064"/>
      <c r="AS192" s="1064">
        <f t="shared" si="30"/>
        <v>31</v>
      </c>
      <c r="AT192" s="1064">
        <f>AS192*('Ввод исходных данных'!$D$83-AQ192)</f>
        <v>694.4</v>
      </c>
      <c r="AU192" s="1070">
        <v>4.3</v>
      </c>
      <c r="AV192" s="1070"/>
      <c r="AW192" s="1070">
        <f t="shared" si="31"/>
        <v>30</v>
      </c>
      <c r="AX192" s="1070">
        <f>AW192*('Ввод исходных данных'!$D$83-AU192)</f>
        <v>411</v>
      </c>
      <c r="AY192" s="1071">
        <v>11.5</v>
      </c>
      <c r="AZ192" s="1071"/>
      <c r="BA192" s="1071">
        <f t="shared" si="32"/>
        <v>2</v>
      </c>
      <c r="BB192" s="1071">
        <f>BA192*('Ввод исходных данных'!$D$83-AY192)</f>
        <v>13</v>
      </c>
      <c r="BC192" s="1072">
        <v>15.7</v>
      </c>
      <c r="BD192" s="1072"/>
      <c r="BE192" s="1072">
        <f t="shared" si="24"/>
        <v>0</v>
      </c>
      <c r="BF192" s="1073">
        <f>BE192*('Ввод исходных данных'!$D$83-BC192)</f>
        <v>0</v>
      </c>
    </row>
    <row r="193" spans="2:58" ht="15.75" customHeight="1" x14ac:dyDescent="0.25">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4536.7999999999993</v>
      </c>
      <c r="J193" s="1059" t="str">
        <f t="shared" si="23"/>
        <v>4000-5000</v>
      </c>
      <c r="K193" s="1060">
        <v>17.8</v>
      </c>
      <c r="L193" s="1060"/>
      <c r="M193" s="1061">
        <f t="shared" si="25"/>
        <v>0.5</v>
      </c>
      <c r="N193" s="1062">
        <f>M193*('Ввод исходных данных'!$D$83-K193)</f>
        <v>9.9999999999999645E-2</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423.95</v>
      </c>
      <c r="AA193" s="1066">
        <v>-2.2999999999999998</v>
      </c>
      <c r="AB193" s="1066"/>
      <c r="AC193" s="1066">
        <f t="shared" si="29"/>
        <v>30</v>
      </c>
      <c r="AD193" s="1066">
        <f>AC193*('Ввод исходных данных'!$D$83-AA193)</f>
        <v>609</v>
      </c>
      <c r="AE193" s="1067">
        <v>-7</v>
      </c>
      <c r="AF193" s="1067"/>
      <c r="AG193" s="1067">
        <v>31</v>
      </c>
      <c r="AH193" s="1067">
        <f>AG193*('Ввод исходных данных'!$D$83-AE193)</f>
        <v>775</v>
      </c>
      <c r="AI193" s="1068">
        <v>-10.9</v>
      </c>
      <c r="AJ193" s="1068"/>
      <c r="AK193" s="1068">
        <v>31</v>
      </c>
      <c r="AL193" s="1068">
        <f>AK193*('Ввод исходных данных'!$D$83-AI193)</f>
        <v>895.9</v>
      </c>
      <c r="AM193" s="1069">
        <v>-9.8000000000000007</v>
      </c>
      <c r="AN193" s="1069"/>
      <c r="AO193" s="1069">
        <v>28</v>
      </c>
      <c r="AP193" s="1069">
        <f>AO193*('Ввод исходных данных'!$D$83-AM193)</f>
        <v>778.4</v>
      </c>
      <c r="AQ193" s="1064">
        <v>-4.5999999999999996</v>
      </c>
      <c r="AR193" s="1064"/>
      <c r="AS193" s="1064">
        <f t="shared" si="30"/>
        <v>31</v>
      </c>
      <c r="AT193" s="1064">
        <f>AS193*('Ввод исходных данных'!$D$83-AQ193)</f>
        <v>700.6</v>
      </c>
      <c r="AU193" s="1070">
        <v>4.5999999999999996</v>
      </c>
      <c r="AV193" s="1070"/>
      <c r="AW193" s="1070">
        <f t="shared" si="31"/>
        <v>30</v>
      </c>
      <c r="AX193" s="1070">
        <f>AW193*('Ввод исходных данных'!$D$83-AU193)</f>
        <v>402</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25">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5395.6</v>
      </c>
      <c r="J194" s="1059" t="str">
        <f t="shared" si="23"/>
        <v>5000-6000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54.600000000000009</v>
      </c>
      <c r="S194" s="1064">
        <v>7.1</v>
      </c>
      <c r="T194" s="1064"/>
      <c r="U194" s="1064">
        <f t="shared" si="27"/>
        <v>30</v>
      </c>
      <c r="V194" s="1064">
        <f>U194*('Ввод исходных данных'!$D$83-S194)</f>
        <v>327</v>
      </c>
      <c r="W194" s="1065">
        <v>2.4</v>
      </c>
      <c r="X194" s="1065"/>
      <c r="Y194" s="1065">
        <f t="shared" si="28"/>
        <v>31</v>
      </c>
      <c r="Z194" s="1065">
        <f>Y194*('Ввод исходных данных'!$D$83-W194)</f>
        <v>483.59999999999997</v>
      </c>
      <c r="AA194" s="1066">
        <v>-1.6</v>
      </c>
      <c r="AB194" s="1066"/>
      <c r="AC194" s="1066">
        <f t="shared" si="29"/>
        <v>30</v>
      </c>
      <c r="AD194" s="1066">
        <f>AC194*('Ввод исходных данных'!$D$83-AA194)</f>
        <v>588</v>
      </c>
      <c r="AE194" s="1067">
        <v>-3.5</v>
      </c>
      <c r="AF194" s="1067"/>
      <c r="AG194" s="1067">
        <v>31</v>
      </c>
      <c r="AH194" s="1067">
        <f>AG194*('Ввод исходных данных'!$D$83-AE194)</f>
        <v>666.5</v>
      </c>
      <c r="AI194" s="1068">
        <v>-5.3</v>
      </c>
      <c r="AJ194" s="1068"/>
      <c r="AK194" s="1068">
        <v>31</v>
      </c>
      <c r="AL194" s="1068">
        <f>AK194*('Ввод исходных данных'!$D$83-AI194)</f>
        <v>722.30000000000007</v>
      </c>
      <c r="AM194" s="1069">
        <v>-5.9</v>
      </c>
      <c r="AN194" s="1069"/>
      <c r="AO194" s="1069">
        <v>28</v>
      </c>
      <c r="AP194" s="1069">
        <f>AO194*('Ввод исходных данных'!$D$83-AM194)</f>
        <v>669.19999999999993</v>
      </c>
      <c r="AQ194" s="1064">
        <v>-3.8</v>
      </c>
      <c r="AR194" s="1064"/>
      <c r="AS194" s="1064">
        <f t="shared" si="30"/>
        <v>31</v>
      </c>
      <c r="AT194" s="1064">
        <f>AS194*('Ввод исходных данных'!$D$83-AQ194)</f>
        <v>675.80000000000007</v>
      </c>
      <c r="AU194" s="1070">
        <v>-1.2</v>
      </c>
      <c r="AV194" s="1070"/>
      <c r="AW194" s="1070">
        <f t="shared" si="31"/>
        <v>30</v>
      </c>
      <c r="AX194" s="1070">
        <f>AW194*('Ввод исходных данных'!$D$83-AU194)</f>
        <v>576</v>
      </c>
      <c r="AY194" s="1071">
        <v>2.8</v>
      </c>
      <c r="AZ194" s="1071"/>
      <c r="BA194" s="1071">
        <f t="shared" si="32"/>
        <v>31</v>
      </c>
      <c r="BB194" s="1071">
        <f>BA194*('Ввод исходных данных'!$D$83-AY194)</f>
        <v>471.2</v>
      </c>
      <c r="BC194" s="1072">
        <v>7.1</v>
      </c>
      <c r="BD194" s="1072"/>
      <c r="BE194" s="1072">
        <f t="shared" si="24"/>
        <v>7</v>
      </c>
      <c r="BF194" s="1073">
        <f>BE194*('Ввод исходных данных'!$D$83-BC194)</f>
        <v>76.3</v>
      </c>
    </row>
    <row r="195" spans="2:58" ht="15.75" customHeight="1" x14ac:dyDescent="0.25">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5989</v>
      </c>
      <c r="J195" s="1059" t="str">
        <f t="shared" si="23"/>
        <v>5000-6000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296.79999999999995</v>
      </c>
      <c r="W195" s="1065">
        <v>0.8</v>
      </c>
      <c r="X195" s="1065"/>
      <c r="Y195" s="1065">
        <f t="shared" si="28"/>
        <v>31</v>
      </c>
      <c r="Z195" s="1065">
        <f>Y195*('Ввод исходных данных'!$D$83-W195)</f>
        <v>533.19999999999993</v>
      </c>
      <c r="AA195" s="1066">
        <v>-5.5</v>
      </c>
      <c r="AB195" s="1066"/>
      <c r="AC195" s="1066">
        <f t="shared" si="29"/>
        <v>30</v>
      </c>
      <c r="AD195" s="1066">
        <f>AC195*('Ввод исходных данных'!$D$83-AA195)</f>
        <v>705</v>
      </c>
      <c r="AE195" s="1067">
        <v>-9.6999999999999993</v>
      </c>
      <c r="AF195" s="1067"/>
      <c r="AG195" s="1067">
        <v>31</v>
      </c>
      <c r="AH195" s="1067">
        <f>AG195*('Ввод исходных данных'!$D$83-AE195)</f>
        <v>858.69999999999993</v>
      </c>
      <c r="AI195" s="1068">
        <v>-12.7</v>
      </c>
      <c r="AJ195" s="1068"/>
      <c r="AK195" s="1068">
        <v>31</v>
      </c>
      <c r="AL195" s="1068">
        <f>AK195*('Ввод исходных данных'!$D$83-AI195)</f>
        <v>951.69999999999993</v>
      </c>
      <c r="AM195" s="1069">
        <v>-12.4</v>
      </c>
      <c r="AN195" s="1069"/>
      <c r="AO195" s="1069">
        <v>28</v>
      </c>
      <c r="AP195" s="1069">
        <f>AO195*('Ввод исходных данных'!$D$83-AM195)</f>
        <v>851.19999999999993</v>
      </c>
      <c r="AQ195" s="1064">
        <v>-6.8</v>
      </c>
      <c r="AR195" s="1064"/>
      <c r="AS195" s="1064">
        <f t="shared" si="30"/>
        <v>31</v>
      </c>
      <c r="AT195" s="1064">
        <f>AS195*('Ввод исходных данных'!$D$83-AQ195)</f>
        <v>768.80000000000007</v>
      </c>
      <c r="AU195" s="1070">
        <v>-1.6</v>
      </c>
      <c r="AV195" s="1070"/>
      <c r="AW195" s="1070">
        <f t="shared" si="31"/>
        <v>30</v>
      </c>
      <c r="AX195" s="1070">
        <f>AW195*('Ввод исходных данных'!$D$83-AU195)</f>
        <v>588</v>
      </c>
      <c r="AY195" s="1071">
        <v>4.5999999999999996</v>
      </c>
      <c r="AZ195" s="1071"/>
      <c r="BA195" s="1071">
        <f t="shared" si="32"/>
        <v>26.5</v>
      </c>
      <c r="BB195" s="1071">
        <f>BA195*('Ввод исходных данных'!$D$83-AY195)</f>
        <v>355.1</v>
      </c>
      <c r="BC195" s="1072">
        <v>11.2</v>
      </c>
      <c r="BD195" s="1072"/>
      <c r="BE195" s="1072">
        <f t="shared" si="24"/>
        <v>0</v>
      </c>
      <c r="BF195" s="1073">
        <f>BE195*('Ввод исходных данных'!$D$83-BC195)</f>
        <v>0</v>
      </c>
    </row>
    <row r="196" spans="2:58" ht="15.75" customHeight="1" x14ac:dyDescent="0.25">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6205.9</v>
      </c>
      <c r="J196" s="1059" t="str">
        <f t="shared" si="23"/>
        <v>6000-7000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359.9</v>
      </c>
      <c r="W196" s="1065">
        <v>-0.6</v>
      </c>
      <c r="X196" s="1065"/>
      <c r="Y196" s="1065">
        <f t="shared" si="28"/>
        <v>31</v>
      </c>
      <c r="Z196" s="1065">
        <f>Y196*('Ввод исходных данных'!$D$83-W196)</f>
        <v>576.6</v>
      </c>
      <c r="AA196" s="1066">
        <v>-6.6</v>
      </c>
      <c r="AB196" s="1066"/>
      <c r="AC196" s="1066">
        <f t="shared" si="29"/>
        <v>30</v>
      </c>
      <c r="AD196" s="1066">
        <f>AC196*('Ввод исходных данных'!$D$83-AA196)</f>
        <v>738</v>
      </c>
      <c r="AE196" s="1067">
        <v>-10.199999999999999</v>
      </c>
      <c r="AF196" s="1067"/>
      <c r="AG196" s="1067">
        <v>31</v>
      </c>
      <c r="AH196" s="1067">
        <f>AG196*('Ввод исходных данных'!$D$83-AE196)</f>
        <v>874.19999999999993</v>
      </c>
      <c r="AI196" s="1068">
        <v>-12.8</v>
      </c>
      <c r="AJ196" s="1068"/>
      <c r="AK196" s="1068">
        <v>31</v>
      </c>
      <c r="AL196" s="1068">
        <f>AK196*('Ввод исходных данных'!$D$83-AI196)</f>
        <v>954.80000000000007</v>
      </c>
      <c r="AM196" s="1069">
        <v>-12.3</v>
      </c>
      <c r="AN196" s="1069"/>
      <c r="AO196" s="1069">
        <v>28</v>
      </c>
      <c r="AP196" s="1069">
        <f>AO196*('Ввод исходных данных'!$D$83-AM196)</f>
        <v>848.4</v>
      </c>
      <c r="AQ196" s="1064">
        <v>-7.2</v>
      </c>
      <c r="AR196" s="1064"/>
      <c r="AS196" s="1064">
        <f t="shared" si="30"/>
        <v>31</v>
      </c>
      <c r="AT196" s="1064">
        <f>AS196*('Ввод исходных данных'!$D$83-AQ196)</f>
        <v>781.19999999999993</v>
      </c>
      <c r="AU196" s="1070">
        <v>-2</v>
      </c>
      <c r="AV196" s="1070"/>
      <c r="AW196" s="1070">
        <f t="shared" si="31"/>
        <v>30</v>
      </c>
      <c r="AX196" s="1070">
        <f>AW196*('Ввод исходных данных'!$D$83-AU196)</f>
        <v>600</v>
      </c>
      <c r="AY196" s="1071">
        <v>4.2</v>
      </c>
      <c r="AZ196" s="1071"/>
      <c r="BA196" s="1071">
        <f t="shared" si="32"/>
        <v>29.5</v>
      </c>
      <c r="BB196" s="1071">
        <f>BA196*('Ввод исходных данных'!$D$83-AY196)</f>
        <v>407.1</v>
      </c>
      <c r="BC196" s="1072">
        <v>10.8</v>
      </c>
      <c r="BD196" s="1072"/>
      <c r="BE196" s="1072">
        <f t="shared" si="24"/>
        <v>0</v>
      </c>
      <c r="BF196" s="1073">
        <f>BE196*('Ввод исходных данных'!$D$83-BC196)</f>
        <v>0</v>
      </c>
    </row>
    <row r="197" spans="2:58" ht="15.75" customHeight="1" x14ac:dyDescent="0.25">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6528.5999999999995</v>
      </c>
      <c r="J197" s="1059" t="str">
        <f t="shared" si="23"/>
        <v>6000-7000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21.900000000000002</v>
      </c>
      <c r="S197" s="1064">
        <v>5.9</v>
      </c>
      <c r="T197" s="1064"/>
      <c r="U197" s="1064">
        <f t="shared" si="27"/>
        <v>30</v>
      </c>
      <c r="V197" s="1064">
        <f>U197*('Ввод исходных данных'!$D$83-S197)</f>
        <v>363</v>
      </c>
      <c r="W197" s="1065">
        <v>-0.5</v>
      </c>
      <c r="X197" s="1065"/>
      <c r="Y197" s="1065">
        <f t="shared" si="28"/>
        <v>31</v>
      </c>
      <c r="Z197" s="1065">
        <f>Y197*('Ввод исходных данных'!$D$83-W197)</f>
        <v>573.5</v>
      </c>
      <c r="AA197" s="1066">
        <v>-6.9</v>
      </c>
      <c r="AB197" s="1066"/>
      <c r="AC197" s="1066">
        <f t="shared" si="29"/>
        <v>30</v>
      </c>
      <c r="AD197" s="1066">
        <f>AC197*('Ввод исходных данных'!$D$83-AA197)</f>
        <v>747</v>
      </c>
      <c r="AE197" s="1067">
        <v>-10.6</v>
      </c>
      <c r="AF197" s="1067"/>
      <c r="AG197" s="1067">
        <v>31</v>
      </c>
      <c r="AH197" s="1067">
        <f>AG197*('Ввод исходных данных'!$D$83-AE197)</f>
        <v>886.6</v>
      </c>
      <c r="AI197" s="1068">
        <v>-13.9</v>
      </c>
      <c r="AJ197" s="1068"/>
      <c r="AK197" s="1068">
        <v>31</v>
      </c>
      <c r="AL197" s="1068">
        <f>AK197*('Ввод исходных данных'!$D$83-AI197)</f>
        <v>988.9</v>
      </c>
      <c r="AM197" s="1069">
        <v>-13.8</v>
      </c>
      <c r="AN197" s="1069"/>
      <c r="AO197" s="1069">
        <v>28</v>
      </c>
      <c r="AP197" s="1069">
        <f>AO197*('Ввод исходных данных'!$D$83-AM197)</f>
        <v>890.4</v>
      </c>
      <c r="AQ197" s="1064">
        <v>-8.5</v>
      </c>
      <c r="AR197" s="1064"/>
      <c r="AS197" s="1064">
        <f t="shared" si="30"/>
        <v>31</v>
      </c>
      <c r="AT197" s="1064">
        <f>AS197*('Ввод исходных данных'!$D$83-AQ197)</f>
        <v>821.5</v>
      </c>
      <c r="AU197" s="1070">
        <v>-3.5</v>
      </c>
      <c r="AV197" s="1070"/>
      <c r="AW197" s="1070">
        <f t="shared" si="31"/>
        <v>30</v>
      </c>
      <c r="AX197" s="1070">
        <f>AW197*('Ввод исходных данных'!$D$83-AU197)</f>
        <v>645</v>
      </c>
      <c r="AY197" s="1071">
        <v>2.7</v>
      </c>
      <c r="AZ197" s="1071"/>
      <c r="BA197" s="1071">
        <f t="shared" si="32"/>
        <v>31</v>
      </c>
      <c r="BB197" s="1071">
        <f>BA197*('Ввод исходных данных'!$D$83-AY197)</f>
        <v>474.3</v>
      </c>
      <c r="BC197" s="1072">
        <v>9.6</v>
      </c>
      <c r="BD197" s="1072"/>
      <c r="BE197" s="1072">
        <f t="shared" si="24"/>
        <v>3</v>
      </c>
      <c r="BF197" s="1073">
        <f>BE197*('Ввод исходных данных'!$D$83-BC197)</f>
        <v>25.200000000000003</v>
      </c>
    </row>
    <row r="198" spans="2:58" ht="15.75" customHeight="1" x14ac:dyDescent="0.25">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6463</v>
      </c>
      <c r="J198" s="1059" t="str">
        <f t="shared" si="23"/>
        <v>6000-7000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27.6</v>
      </c>
      <c r="S198" s="1064">
        <v>5.6</v>
      </c>
      <c r="T198" s="1064"/>
      <c r="U198" s="1064">
        <f t="shared" si="27"/>
        <v>30</v>
      </c>
      <c r="V198" s="1064">
        <f>U198*('Ввод исходных данных'!$D$83-S198)</f>
        <v>372</v>
      </c>
      <c r="W198" s="1065">
        <v>-0.9</v>
      </c>
      <c r="X198" s="1065"/>
      <c r="Y198" s="1065">
        <f t="shared" si="28"/>
        <v>31</v>
      </c>
      <c r="Z198" s="1065">
        <f>Y198*('Ввод исходных данных'!$D$83-W198)</f>
        <v>585.9</v>
      </c>
      <c r="AA198" s="1066">
        <v>-6.2</v>
      </c>
      <c r="AB198" s="1066"/>
      <c r="AC198" s="1066">
        <f t="shared" si="29"/>
        <v>30</v>
      </c>
      <c r="AD198" s="1066">
        <f>AC198*('Ввод исходных данных'!$D$83-AA198)</f>
        <v>726</v>
      </c>
      <c r="AE198" s="1067">
        <v>-10.4</v>
      </c>
      <c r="AF198" s="1067"/>
      <c r="AG198" s="1067">
        <v>31</v>
      </c>
      <c r="AH198" s="1067">
        <f>AG198*('Ввод исходных данных'!$D$83-AE198)</f>
        <v>880.4</v>
      </c>
      <c r="AI198" s="1068">
        <v>-13.2</v>
      </c>
      <c r="AJ198" s="1068"/>
      <c r="AK198" s="1068">
        <v>31</v>
      </c>
      <c r="AL198" s="1068">
        <f>AK198*('Ввод исходных данных'!$D$83-AI198)</f>
        <v>967.19999999999993</v>
      </c>
      <c r="AM198" s="1069">
        <v>-13.8</v>
      </c>
      <c r="AN198" s="1069"/>
      <c r="AO198" s="1069">
        <v>28</v>
      </c>
      <c r="AP198" s="1069">
        <f>AO198*('Ввод исходных данных'!$D$83-AM198)</f>
        <v>890.4</v>
      </c>
      <c r="AQ198" s="1064">
        <v>-10.199999999999999</v>
      </c>
      <c r="AR198" s="1064"/>
      <c r="AS198" s="1064">
        <f t="shared" si="30"/>
        <v>31</v>
      </c>
      <c r="AT198" s="1064">
        <f>AS198*('Ввод исходных данных'!$D$83-AQ198)</f>
        <v>874.19999999999993</v>
      </c>
      <c r="AU198" s="1070">
        <v>-3.8</v>
      </c>
      <c r="AV198" s="1070"/>
      <c r="AW198" s="1070">
        <f t="shared" si="31"/>
        <v>30</v>
      </c>
      <c r="AX198" s="1070">
        <f>AW198*('Ввод исходных данных'!$D$83-AU198)</f>
        <v>654</v>
      </c>
      <c r="AY198" s="1071">
        <v>2.4</v>
      </c>
      <c r="AZ198" s="1071"/>
      <c r="BA198" s="1071">
        <f t="shared" si="32"/>
        <v>31</v>
      </c>
      <c r="BB198" s="1071">
        <f>BA198*('Ввод исходных данных'!$D$83-AY198)</f>
        <v>483.59999999999997</v>
      </c>
      <c r="BC198" s="1072">
        <v>9.1</v>
      </c>
      <c r="BD198" s="1072"/>
      <c r="BE198" s="1072">
        <f t="shared" si="24"/>
        <v>4</v>
      </c>
      <c r="BF198" s="1073">
        <f>BE198*('Ввод исходных данных'!$D$83-BC198)</f>
        <v>35.6</v>
      </c>
    </row>
    <row r="199" spans="2:58" ht="15.75" customHeight="1" x14ac:dyDescent="0.25">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6097.5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336.3</v>
      </c>
      <c r="W199" s="1065">
        <v>0.2</v>
      </c>
      <c r="X199" s="1065"/>
      <c r="Y199" s="1065">
        <f t="shared" si="28"/>
        <v>31</v>
      </c>
      <c r="Z199" s="1065">
        <f>Y199*('Ввод исходных данных'!$D$83-W199)</f>
        <v>551.80000000000007</v>
      </c>
      <c r="AA199" s="1066">
        <v>-5.4</v>
      </c>
      <c r="AB199" s="1066"/>
      <c r="AC199" s="1066">
        <f t="shared" si="29"/>
        <v>30</v>
      </c>
      <c r="AD199" s="1066">
        <f>AC199*('Ввод исходных данных'!$D$83-AA199)</f>
        <v>702</v>
      </c>
      <c r="AE199" s="1067">
        <v>-9.6999999999999993</v>
      </c>
      <c r="AF199" s="1067"/>
      <c r="AG199" s="1067">
        <v>31</v>
      </c>
      <c r="AH199" s="1067">
        <f>AG199*('Ввод исходных данных'!$D$83-AE199)</f>
        <v>858.69999999999993</v>
      </c>
      <c r="AI199" s="1068">
        <v>-12.8</v>
      </c>
      <c r="AJ199" s="1068"/>
      <c r="AK199" s="1068">
        <v>31</v>
      </c>
      <c r="AL199" s="1068">
        <f>AK199*('Ввод исходных данных'!$D$83-AI199)</f>
        <v>954.80000000000007</v>
      </c>
      <c r="AM199" s="1069">
        <v>-12.7</v>
      </c>
      <c r="AN199" s="1069"/>
      <c r="AO199" s="1069">
        <v>28</v>
      </c>
      <c r="AP199" s="1069">
        <f>AO199*('Ввод исходных данных'!$D$83-AM199)</f>
        <v>859.6</v>
      </c>
      <c r="AQ199" s="1064">
        <v>-8.6</v>
      </c>
      <c r="AR199" s="1064"/>
      <c r="AS199" s="1064">
        <f t="shared" si="30"/>
        <v>31</v>
      </c>
      <c r="AT199" s="1064">
        <f>AS199*('Ввод исходных данных'!$D$83-AQ199)</f>
        <v>824.6</v>
      </c>
      <c r="AU199" s="1070">
        <v>-2.5</v>
      </c>
      <c r="AV199" s="1070"/>
      <c r="AW199" s="1070">
        <f t="shared" si="31"/>
        <v>30</v>
      </c>
      <c r="AX199" s="1070">
        <f>AW199*('Ввод исходных данных'!$D$83-AU199)</f>
        <v>615</v>
      </c>
      <c r="AY199" s="1071">
        <v>3.4</v>
      </c>
      <c r="AZ199" s="1071"/>
      <c r="BA199" s="1071">
        <f t="shared" si="32"/>
        <v>29.5</v>
      </c>
      <c r="BB199" s="1071">
        <f>BA199*('Ввод исходных данных'!$D$83-AY199)</f>
        <v>430.7</v>
      </c>
      <c r="BC199" s="1072">
        <v>10.199999999999999</v>
      </c>
      <c r="BD199" s="1072"/>
      <c r="BE199" s="1072">
        <f t="shared" si="24"/>
        <v>0</v>
      </c>
      <c r="BF199" s="1073">
        <f>BE199*('Ввод исходных данных'!$D$83-BC199)</f>
        <v>0</v>
      </c>
    </row>
    <row r="200" spans="2:58" ht="15.75" customHeight="1" x14ac:dyDescent="0.25">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5885</v>
      </c>
      <c r="J200" s="1059" t="str">
        <f t="shared" si="23"/>
        <v>5000-6000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6.9</v>
      </c>
      <c r="S200" s="1064">
        <v>6.8</v>
      </c>
      <c r="T200" s="1064"/>
      <c r="U200" s="1064">
        <f t="shared" si="27"/>
        <v>30</v>
      </c>
      <c r="V200" s="1064">
        <f>U200*('Ввод исходных данных'!$D$83-S200)</f>
        <v>336</v>
      </c>
      <c r="W200" s="1065">
        <v>0.9</v>
      </c>
      <c r="X200" s="1065"/>
      <c r="Y200" s="1065">
        <f t="shared" si="28"/>
        <v>31</v>
      </c>
      <c r="Z200" s="1065">
        <f>Y200*('Ввод исходных данных'!$D$83-W200)</f>
        <v>530.1</v>
      </c>
      <c r="AA200" s="1066">
        <v>-4.9000000000000004</v>
      </c>
      <c r="AB200" s="1066"/>
      <c r="AC200" s="1066">
        <f t="shared" si="29"/>
        <v>30</v>
      </c>
      <c r="AD200" s="1066">
        <f>AC200*('Ввод исходных данных'!$D$83-AA200)</f>
        <v>687</v>
      </c>
      <c r="AE200" s="1067">
        <v>-8.1999999999999993</v>
      </c>
      <c r="AF200" s="1067"/>
      <c r="AG200" s="1067">
        <v>31</v>
      </c>
      <c r="AH200" s="1067">
        <f>AG200*('Ввод исходных данных'!$D$83-AE200)</f>
        <v>812.19999999999993</v>
      </c>
      <c r="AI200" s="1068">
        <v>-10.5</v>
      </c>
      <c r="AJ200" s="1068"/>
      <c r="AK200" s="1068">
        <v>31</v>
      </c>
      <c r="AL200" s="1068">
        <f>AK200*('Ввод исходных данных'!$D$83-AI200)</f>
        <v>883.5</v>
      </c>
      <c r="AM200" s="1069">
        <v>-10.4</v>
      </c>
      <c r="AN200" s="1069"/>
      <c r="AO200" s="1069">
        <v>28</v>
      </c>
      <c r="AP200" s="1069">
        <f>AO200*('Ввод исходных данных'!$D$83-AM200)</f>
        <v>795.19999999999993</v>
      </c>
      <c r="AQ200" s="1064">
        <v>-5.8</v>
      </c>
      <c r="AR200" s="1064"/>
      <c r="AS200" s="1064">
        <f t="shared" si="30"/>
        <v>31</v>
      </c>
      <c r="AT200" s="1064">
        <f>AS200*('Ввод исходных данных'!$D$83-AQ200)</f>
        <v>737.80000000000007</v>
      </c>
      <c r="AU200" s="1070">
        <v>-1.3</v>
      </c>
      <c r="AV200" s="1070"/>
      <c r="AW200" s="1070">
        <f t="shared" si="31"/>
        <v>30</v>
      </c>
      <c r="AX200" s="1070">
        <f>AW200*('Ввод исходных данных'!$D$83-AU200)</f>
        <v>579</v>
      </c>
      <c r="AY200" s="1071">
        <v>3.7</v>
      </c>
      <c r="AZ200" s="1071"/>
      <c r="BA200" s="1071">
        <f t="shared" si="32"/>
        <v>31</v>
      </c>
      <c r="BB200" s="1071">
        <f>BA200*('Ввод исходных данных'!$D$83-AY200)</f>
        <v>443.3</v>
      </c>
      <c r="BC200" s="1072">
        <v>9.1999999999999993</v>
      </c>
      <c r="BD200" s="1072"/>
      <c r="BE200" s="1072">
        <f t="shared" si="24"/>
        <v>1</v>
      </c>
      <c r="BF200" s="1073">
        <f>BE200*('Ввод исходных данных'!$D$83-BC200)</f>
        <v>8.8000000000000007</v>
      </c>
    </row>
    <row r="201" spans="2:58" ht="15.75" customHeight="1" x14ac:dyDescent="0.25">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6124.6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345.15</v>
      </c>
      <c r="W201" s="1065">
        <v>-0.1</v>
      </c>
      <c r="X201" s="1065"/>
      <c r="Y201" s="1065">
        <f t="shared" si="28"/>
        <v>31</v>
      </c>
      <c r="Z201" s="1065">
        <f>Y201*('Ввод исходных данных'!$D$83-W201)</f>
        <v>561.1</v>
      </c>
      <c r="AA201" s="1066">
        <v>-6.1</v>
      </c>
      <c r="AB201" s="1066"/>
      <c r="AC201" s="1066">
        <f t="shared" si="29"/>
        <v>30</v>
      </c>
      <c r="AD201" s="1066">
        <f>AC201*('Ввод исходных данных'!$D$83-AA201)</f>
        <v>723</v>
      </c>
      <c r="AE201" s="1067">
        <v>-10.199999999999999</v>
      </c>
      <c r="AF201" s="1067"/>
      <c r="AG201" s="1067">
        <v>31</v>
      </c>
      <c r="AH201" s="1067">
        <f>AG201*('Ввод исходных данных'!$D$83-AE201)</f>
        <v>874.19999999999993</v>
      </c>
      <c r="AI201" s="1068">
        <v>-13.1</v>
      </c>
      <c r="AJ201" s="1068"/>
      <c r="AK201" s="1068">
        <v>31</v>
      </c>
      <c r="AL201" s="1068">
        <f>AK201*('Ввод исходных данных'!$D$83-AI201)</f>
        <v>964.1</v>
      </c>
      <c r="AM201" s="1069">
        <v>-13</v>
      </c>
      <c r="AN201" s="1069"/>
      <c r="AO201" s="1069">
        <v>28</v>
      </c>
      <c r="AP201" s="1069">
        <f>AO201*('Ввод исходных данных'!$D$83-AM201)</f>
        <v>868</v>
      </c>
      <c r="AQ201" s="1064">
        <v>-8.1</v>
      </c>
      <c r="AR201" s="1064"/>
      <c r="AS201" s="1064">
        <f t="shared" si="30"/>
        <v>31</v>
      </c>
      <c r="AT201" s="1064">
        <f>AS201*('Ввод исходных данных'!$D$83-AQ201)</f>
        <v>809.1</v>
      </c>
      <c r="AU201" s="1070">
        <v>-1.7</v>
      </c>
      <c r="AV201" s="1070"/>
      <c r="AW201" s="1070">
        <f t="shared" si="31"/>
        <v>30</v>
      </c>
      <c r="AX201" s="1070">
        <f>AW201*('Ввод исходных данных'!$D$83-AU201)</f>
        <v>591</v>
      </c>
      <c r="AY201" s="1071">
        <v>4.2</v>
      </c>
      <c r="AZ201" s="1071"/>
      <c r="BA201" s="1071">
        <f t="shared" si="32"/>
        <v>29.5</v>
      </c>
      <c r="BB201" s="1071">
        <f>BA201*('Ввод исходных данных'!$D$83-AY201)</f>
        <v>407.1</v>
      </c>
      <c r="BC201" s="1072">
        <v>10.5</v>
      </c>
      <c r="BD201" s="1072"/>
      <c r="BE201" s="1072">
        <f t="shared" si="24"/>
        <v>0</v>
      </c>
      <c r="BF201" s="1073">
        <f>BE201*('Ввод исходных данных'!$D$83-BC201)</f>
        <v>0</v>
      </c>
    </row>
    <row r="202" spans="2:58" ht="15.75" customHeight="1" x14ac:dyDescent="0.25">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6315.6</v>
      </c>
      <c r="J202" s="1059" t="str">
        <f t="shared" si="33"/>
        <v>6000-7000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13.2</v>
      </c>
      <c r="S202" s="1064">
        <v>6</v>
      </c>
      <c r="T202" s="1064"/>
      <c r="U202" s="1064">
        <f t="shared" si="27"/>
        <v>30</v>
      </c>
      <c r="V202" s="1064">
        <f>U202*('Ввод исходных данных'!$D$83-S202)</f>
        <v>360</v>
      </c>
      <c r="W202" s="1065">
        <v>-0.3</v>
      </c>
      <c r="X202" s="1065"/>
      <c r="Y202" s="1065">
        <f t="shared" si="28"/>
        <v>31</v>
      </c>
      <c r="Z202" s="1065">
        <f>Y202*('Ввод исходных данных'!$D$83-W202)</f>
        <v>567.30000000000007</v>
      </c>
      <c r="AA202" s="1066">
        <v>-5.8</v>
      </c>
      <c r="AB202" s="1066"/>
      <c r="AC202" s="1066">
        <f t="shared" si="29"/>
        <v>30</v>
      </c>
      <c r="AD202" s="1066">
        <f>AC202*('Ввод исходных данных'!$D$83-AA202)</f>
        <v>714</v>
      </c>
      <c r="AE202" s="1067">
        <v>-10.1</v>
      </c>
      <c r="AF202" s="1067"/>
      <c r="AG202" s="1067">
        <v>31</v>
      </c>
      <c r="AH202" s="1067">
        <f>AG202*('Ввод исходных данных'!$D$83-AE202)</f>
        <v>871.1</v>
      </c>
      <c r="AI202" s="1068">
        <v>-13.4</v>
      </c>
      <c r="AJ202" s="1068"/>
      <c r="AK202" s="1068">
        <v>31</v>
      </c>
      <c r="AL202" s="1068">
        <f>AK202*('Ввод исходных данных'!$D$83-AI202)</f>
        <v>973.4</v>
      </c>
      <c r="AM202" s="1069">
        <v>-13.6</v>
      </c>
      <c r="AN202" s="1069"/>
      <c r="AO202" s="1069">
        <v>28</v>
      </c>
      <c r="AP202" s="1069">
        <f>AO202*('Ввод исходных данных'!$D$83-AM202)</f>
        <v>884.80000000000007</v>
      </c>
      <c r="AQ202" s="1064">
        <v>-9.4</v>
      </c>
      <c r="AR202" s="1064"/>
      <c r="AS202" s="1064">
        <f t="shared" si="30"/>
        <v>31</v>
      </c>
      <c r="AT202" s="1064">
        <f>AS202*('Ввод исходных данных'!$D$83-AQ202)</f>
        <v>849.4</v>
      </c>
      <c r="AU202" s="1070">
        <v>-3</v>
      </c>
      <c r="AV202" s="1070"/>
      <c r="AW202" s="1070">
        <f t="shared" si="31"/>
        <v>30</v>
      </c>
      <c r="AX202" s="1070">
        <f>AW202*('Ввод исходных данных'!$D$83-AU202)</f>
        <v>630</v>
      </c>
      <c r="AY202" s="1071">
        <v>3.1</v>
      </c>
      <c r="AZ202" s="1071"/>
      <c r="BA202" s="1071">
        <f t="shared" si="32"/>
        <v>31</v>
      </c>
      <c r="BB202" s="1071">
        <f>BA202*('Ввод исходных данных'!$D$83-AY202)</f>
        <v>461.90000000000003</v>
      </c>
      <c r="BC202" s="1072">
        <v>9.6</v>
      </c>
      <c r="BD202" s="1072"/>
      <c r="BE202" s="1072">
        <f t="shared" ref="BE202:BE265" si="34">IF((E202-273)&gt;0,IF((E202-273)/2&gt;30,30,(E202-273)/2),0)</f>
        <v>2</v>
      </c>
      <c r="BF202" s="1073">
        <f>BE202*('Ввод исходных данных'!$D$83-BC202)</f>
        <v>16.8</v>
      </c>
    </row>
    <row r="203" spans="2:58" ht="15.75" customHeight="1" x14ac:dyDescent="0.25">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6198.4000000000005</v>
      </c>
      <c r="J203" s="1059" t="str">
        <f t="shared" si="33"/>
        <v>6000-7000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102.49999999999999</v>
      </c>
      <c r="S203" s="1064">
        <v>6.4</v>
      </c>
      <c r="T203" s="1064"/>
      <c r="U203" s="1064">
        <f t="shared" ref="U203:U266" si="37">IF((E203-212)&gt;0,IF((E203-212)/2&gt;30,30,(E203-212)/2),0)</f>
        <v>30</v>
      </c>
      <c r="V203" s="1064">
        <f>U203*('Ввод исходных данных'!$D$83-S203)</f>
        <v>348</v>
      </c>
      <c r="W203" s="1065">
        <v>1.3</v>
      </c>
      <c r="X203" s="1065"/>
      <c r="Y203" s="1065">
        <f t="shared" ref="Y203:Y266" si="38">IF((E203-151)&gt;0,IF((E203-151)/2&gt;31,31,(E203-151)/2),0)</f>
        <v>31</v>
      </c>
      <c r="Z203" s="1065">
        <f>Y203*('Ввод исходных данных'!$D$83-W203)</f>
        <v>517.69999999999993</v>
      </c>
      <c r="AA203" s="1066">
        <v>-2.8</v>
      </c>
      <c r="AB203" s="1066"/>
      <c r="AC203" s="1066">
        <f t="shared" ref="AC203:AC266" si="39">IF((E203-90)/2&gt;30,30,(E203-90)/2)</f>
        <v>30</v>
      </c>
      <c r="AD203" s="1066">
        <f>AC203*('Ввод исходных данных'!$D$83-AA203)</f>
        <v>624</v>
      </c>
      <c r="AE203" s="1067">
        <v>-6.4</v>
      </c>
      <c r="AF203" s="1067"/>
      <c r="AG203" s="1067">
        <v>31</v>
      </c>
      <c r="AH203" s="1067">
        <f>AG203*('Ввод исходных данных'!$D$83-AE203)</f>
        <v>756.4</v>
      </c>
      <c r="AI203" s="1068">
        <v>-10</v>
      </c>
      <c r="AJ203" s="1068"/>
      <c r="AK203" s="1068">
        <v>31</v>
      </c>
      <c r="AL203" s="1068">
        <f>AK203*('Ввод исходных данных'!$D$83-AI203)</f>
        <v>868</v>
      </c>
      <c r="AM203" s="1069">
        <v>-11.2</v>
      </c>
      <c r="AN203" s="1069"/>
      <c r="AO203" s="1069">
        <v>28</v>
      </c>
      <c r="AP203" s="1069">
        <f>AO203*('Ввод исходных данных'!$D$83-AM203)</f>
        <v>817.6</v>
      </c>
      <c r="AQ203" s="1064">
        <v>-8.9</v>
      </c>
      <c r="AR203" s="1064"/>
      <c r="AS203" s="1064">
        <f t="shared" ref="AS203:AS266" si="40">IF((E203-90)/2&gt;31,31,(E203-90)/2)</f>
        <v>31</v>
      </c>
      <c r="AT203" s="1064">
        <f>AS203*('Ввод исходных данных'!$D$83-AQ203)</f>
        <v>833.9</v>
      </c>
      <c r="AU203" s="1070">
        <v>-3.7</v>
      </c>
      <c r="AV203" s="1070"/>
      <c r="AW203" s="1070">
        <f t="shared" ref="AW203:AW266" si="41">IF((E203-151)&gt;0,IF((E203-151)/2&gt;30,30,(E203-151)/2),0)</f>
        <v>30</v>
      </c>
      <c r="AX203" s="1070">
        <f>AW203*('Ввод исходных данных'!$D$83-AU203)</f>
        <v>651</v>
      </c>
      <c r="AY203" s="1071">
        <v>1.4</v>
      </c>
      <c r="AZ203" s="1071"/>
      <c r="BA203" s="1071">
        <f t="shared" ref="BA203:BA266" si="42">IF((E203-212)&gt;0,IF((E203-212)/2&gt;31,31,(E203-212)/2),0)</f>
        <v>31</v>
      </c>
      <c r="BB203" s="1071">
        <f>BA203*('Ввод исходных данных'!$D$83-AY203)</f>
        <v>514.6</v>
      </c>
      <c r="BC203" s="1072">
        <v>6.8</v>
      </c>
      <c r="BD203" s="1072"/>
      <c r="BE203" s="1072">
        <f t="shared" si="34"/>
        <v>12.5</v>
      </c>
      <c r="BF203" s="1073">
        <f>BE203*('Ввод исходных данных'!$D$83-BC203)</f>
        <v>140</v>
      </c>
    </row>
    <row r="204" spans="2:58" ht="15.75" customHeight="1" x14ac:dyDescent="0.25">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5696.4</v>
      </c>
      <c r="J204" s="1059" t="str">
        <f t="shared" si="33"/>
        <v>5000-6000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33.300000000000004</v>
      </c>
      <c r="S204" s="1064">
        <v>7.1</v>
      </c>
      <c r="T204" s="1064"/>
      <c r="U204" s="1064">
        <f t="shared" si="37"/>
        <v>30</v>
      </c>
      <c r="V204" s="1064">
        <f>U204*('Ввод исходных данных'!$D$83-S204)</f>
        <v>327</v>
      </c>
      <c r="W204" s="1065">
        <v>1.7</v>
      </c>
      <c r="X204" s="1065"/>
      <c r="Y204" s="1065">
        <f t="shared" si="38"/>
        <v>31</v>
      </c>
      <c r="Z204" s="1065">
        <f>Y204*('Ввод исходных данных'!$D$83-W204)</f>
        <v>505.3</v>
      </c>
      <c r="AA204" s="1066">
        <v>-3.2</v>
      </c>
      <c r="AB204" s="1066"/>
      <c r="AC204" s="1066">
        <f t="shared" si="39"/>
        <v>30</v>
      </c>
      <c r="AD204" s="1066">
        <f>AC204*('Ввод исходных данных'!$D$83-AA204)</f>
        <v>636</v>
      </c>
      <c r="AE204" s="1067">
        <v>-5.7</v>
      </c>
      <c r="AF204" s="1067"/>
      <c r="AG204" s="1067">
        <v>31</v>
      </c>
      <c r="AH204" s="1067">
        <f>AG204*('Ввод исходных данных'!$D$83-AE204)</f>
        <v>734.69999999999993</v>
      </c>
      <c r="AI204" s="1068">
        <v>-7.6</v>
      </c>
      <c r="AJ204" s="1068"/>
      <c r="AK204" s="1068">
        <v>31</v>
      </c>
      <c r="AL204" s="1068">
        <f>AK204*('Ввод исходных данных'!$D$83-AI204)</f>
        <v>793.6</v>
      </c>
      <c r="AM204" s="1069">
        <v>-8.1999999999999993</v>
      </c>
      <c r="AN204" s="1069"/>
      <c r="AO204" s="1069">
        <v>28</v>
      </c>
      <c r="AP204" s="1069">
        <f>AO204*('Ввод исходных данных'!$D$83-AM204)</f>
        <v>733.6</v>
      </c>
      <c r="AQ204" s="1064">
        <v>-5.2</v>
      </c>
      <c r="AR204" s="1064"/>
      <c r="AS204" s="1064">
        <f t="shared" si="40"/>
        <v>31</v>
      </c>
      <c r="AT204" s="1064">
        <f>AS204*('Ввод исходных данных'!$D$83-AQ204)</f>
        <v>719.19999999999993</v>
      </c>
      <c r="AU204" s="1070">
        <v>-1.9</v>
      </c>
      <c r="AV204" s="1070"/>
      <c r="AW204" s="1070">
        <f t="shared" si="41"/>
        <v>30</v>
      </c>
      <c r="AX204" s="1070">
        <f>AW204*('Ввод исходных данных'!$D$83-AU204)</f>
        <v>597</v>
      </c>
      <c r="AY204" s="1071">
        <v>2.6</v>
      </c>
      <c r="AZ204" s="1071"/>
      <c r="BA204" s="1071">
        <f t="shared" si="42"/>
        <v>31</v>
      </c>
      <c r="BB204" s="1071">
        <f>BA204*('Ввод исходных данных'!$D$83-AY204)</f>
        <v>477.40000000000003</v>
      </c>
      <c r="BC204" s="1072">
        <v>7.5</v>
      </c>
      <c r="BD204" s="1072"/>
      <c r="BE204" s="1072">
        <f t="shared" si="34"/>
        <v>4.5</v>
      </c>
      <c r="BF204" s="1073">
        <f>BE204*('Ввод исходных данных'!$D$83-BC204)</f>
        <v>47.25</v>
      </c>
    </row>
    <row r="205" spans="2:58" ht="15.75" customHeight="1" x14ac:dyDescent="0.25">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6396</v>
      </c>
      <c r="J205" s="1059" t="str">
        <f t="shared" si="33"/>
        <v>6000-7000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169.64999999999998</v>
      </c>
      <c r="S205" s="1064">
        <v>6.4</v>
      </c>
      <c r="T205" s="1064"/>
      <c r="U205" s="1064">
        <f t="shared" si="37"/>
        <v>30</v>
      </c>
      <c r="V205" s="1064">
        <f>U205*('Ввод исходных данных'!$D$83-S205)</f>
        <v>348</v>
      </c>
      <c r="W205" s="1065">
        <v>0.9</v>
      </c>
      <c r="X205" s="1065"/>
      <c r="Y205" s="1065">
        <f t="shared" si="38"/>
        <v>31</v>
      </c>
      <c r="Z205" s="1065">
        <f>Y205*('Ввод исходных данных'!$D$83-W205)</f>
        <v>530.1</v>
      </c>
      <c r="AA205" s="1066">
        <v>-3.3</v>
      </c>
      <c r="AB205" s="1066"/>
      <c r="AC205" s="1066">
        <f t="shared" si="39"/>
        <v>30</v>
      </c>
      <c r="AD205" s="1066">
        <f>AC205*('Ввод исходных данных'!$D$83-AA205)</f>
        <v>639</v>
      </c>
      <c r="AE205" s="1067">
        <v>-6.2</v>
      </c>
      <c r="AF205" s="1067"/>
      <c r="AG205" s="1067">
        <v>31</v>
      </c>
      <c r="AH205" s="1067">
        <f>AG205*('Ввод исходных данных'!$D$83-AE205)</f>
        <v>750.19999999999993</v>
      </c>
      <c r="AI205" s="1068">
        <v>-9.9</v>
      </c>
      <c r="AJ205" s="1068"/>
      <c r="AK205" s="1068">
        <v>31</v>
      </c>
      <c r="AL205" s="1068">
        <f>AK205*('Ввод исходных данных'!$D$83-AI205)</f>
        <v>864.9</v>
      </c>
      <c r="AM205" s="1069">
        <v>-11.1</v>
      </c>
      <c r="AN205" s="1069"/>
      <c r="AO205" s="1069">
        <v>28</v>
      </c>
      <c r="AP205" s="1069">
        <f>AO205*('Ввод исходных данных'!$D$83-AM205)</f>
        <v>814.80000000000007</v>
      </c>
      <c r="AQ205" s="1064">
        <v>-8.8000000000000007</v>
      </c>
      <c r="AR205" s="1064"/>
      <c r="AS205" s="1064">
        <f t="shared" si="40"/>
        <v>31</v>
      </c>
      <c r="AT205" s="1064">
        <f>AS205*('Ввод исходных данных'!$D$83-AQ205)</f>
        <v>830.80000000000007</v>
      </c>
      <c r="AU205" s="1070">
        <v>-3.6</v>
      </c>
      <c r="AV205" s="1070"/>
      <c r="AW205" s="1070">
        <f t="shared" si="41"/>
        <v>30</v>
      </c>
      <c r="AX205" s="1070">
        <f>AW205*('Ввод исходных данных'!$D$83-AU205)</f>
        <v>648</v>
      </c>
      <c r="AY205" s="1071">
        <v>0.7</v>
      </c>
      <c r="AZ205" s="1071"/>
      <c r="BA205" s="1071">
        <f t="shared" si="42"/>
        <v>31</v>
      </c>
      <c r="BB205" s="1071">
        <f>BA205*('Ввод исходных данных'!$D$83-AY205)</f>
        <v>536.30000000000007</v>
      </c>
      <c r="BC205" s="1072">
        <v>5.4</v>
      </c>
      <c r="BD205" s="1072"/>
      <c r="BE205" s="1072">
        <f t="shared" si="34"/>
        <v>19.5</v>
      </c>
      <c r="BF205" s="1073">
        <f>BE205*('Ввод исходных данных'!$D$83-BC205)</f>
        <v>245.7</v>
      </c>
    </row>
    <row r="206" spans="2:58" ht="15.75" customHeight="1" x14ac:dyDescent="0.25">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5786</v>
      </c>
      <c r="J206" s="1059" t="str">
        <f t="shared" si="33"/>
        <v>5000-6000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267.75</v>
      </c>
      <c r="W206" s="1065">
        <v>1.4</v>
      </c>
      <c r="X206" s="1065"/>
      <c r="Y206" s="1065">
        <f t="shared" si="38"/>
        <v>31</v>
      </c>
      <c r="Z206" s="1065">
        <f>Y206*('Ввод исходных данных'!$D$83-W206)</f>
        <v>514.6</v>
      </c>
      <c r="AA206" s="1066">
        <v>-4.4000000000000004</v>
      </c>
      <c r="AB206" s="1066"/>
      <c r="AC206" s="1066">
        <f t="shared" si="39"/>
        <v>30</v>
      </c>
      <c r="AD206" s="1066">
        <f>AC206*('Ввод исходных данных'!$D$83-AA206)</f>
        <v>672</v>
      </c>
      <c r="AE206" s="1067">
        <v>-8.3000000000000007</v>
      </c>
      <c r="AF206" s="1067"/>
      <c r="AG206" s="1067">
        <v>31</v>
      </c>
      <c r="AH206" s="1067">
        <f>AG206*('Ввод исходных данных'!$D$83-AE206)</f>
        <v>815.30000000000007</v>
      </c>
      <c r="AI206" s="1068">
        <v>-11.5</v>
      </c>
      <c r="AJ206" s="1068"/>
      <c r="AK206" s="1068">
        <v>31</v>
      </c>
      <c r="AL206" s="1068">
        <f>AK206*('Ввод исходных данных'!$D$83-AI206)</f>
        <v>914.5</v>
      </c>
      <c r="AM206" s="1069">
        <v>-11.5</v>
      </c>
      <c r="AN206" s="1069"/>
      <c r="AO206" s="1069">
        <v>28</v>
      </c>
      <c r="AP206" s="1069">
        <f>AO206*('Ввод исходных данных'!$D$83-AM206)</f>
        <v>826</v>
      </c>
      <c r="AQ206" s="1064">
        <v>-6.4</v>
      </c>
      <c r="AR206" s="1064"/>
      <c r="AS206" s="1064">
        <f t="shared" si="40"/>
        <v>31</v>
      </c>
      <c r="AT206" s="1064">
        <f>AS206*('Ввод исходных данных'!$D$83-AQ206)</f>
        <v>756.4</v>
      </c>
      <c r="AU206" s="1070">
        <v>-1.5</v>
      </c>
      <c r="AV206" s="1070"/>
      <c r="AW206" s="1070">
        <f t="shared" si="41"/>
        <v>30</v>
      </c>
      <c r="AX206" s="1070">
        <f>AW206*('Ввод исходных данных'!$D$83-AU206)</f>
        <v>585</v>
      </c>
      <c r="AY206" s="1071">
        <v>4.3</v>
      </c>
      <c r="AZ206" s="1071"/>
      <c r="BA206" s="1071">
        <f t="shared" si="42"/>
        <v>25.5</v>
      </c>
      <c r="BB206" s="1071">
        <f>BA206*('Ввод исходных данных'!$D$83-AY206)</f>
        <v>349.34999999999997</v>
      </c>
      <c r="BC206" s="1072">
        <v>10.8</v>
      </c>
      <c r="BD206" s="1072"/>
      <c r="BE206" s="1072">
        <f t="shared" si="34"/>
        <v>0</v>
      </c>
      <c r="BF206" s="1073">
        <f>BE206*('Ввод исходных данных'!$D$83-BC206)</f>
        <v>0</v>
      </c>
    </row>
    <row r="207" spans="2:58" ht="15.75" customHeight="1" x14ac:dyDescent="0.25">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7650</v>
      </c>
      <c r="J207" s="1059" t="str">
        <f t="shared" si="33"/>
        <v>7000-8000</v>
      </c>
      <c r="K207" s="1060">
        <v>9</v>
      </c>
      <c r="L207" s="1060"/>
      <c r="M207" s="1061">
        <f t="shared" si="35"/>
        <v>6</v>
      </c>
      <c r="N207" s="1062">
        <f>M207*('Ввод исходных данных'!$D$83-K207)</f>
        <v>54</v>
      </c>
      <c r="O207" s="1063">
        <v>7.2</v>
      </c>
      <c r="P207" s="1063"/>
      <c r="Q207" s="1063">
        <f t="shared" si="36"/>
        <v>31</v>
      </c>
      <c r="R207" s="1063">
        <f>Q207*('Ввод исходных данных'!$D$83-O207)</f>
        <v>334.8</v>
      </c>
      <c r="S207" s="1064">
        <v>1.5</v>
      </c>
      <c r="T207" s="1064"/>
      <c r="U207" s="1064">
        <f t="shared" si="37"/>
        <v>30</v>
      </c>
      <c r="V207" s="1064">
        <f>U207*('Ввод исходных данных'!$D$83-S207)</f>
        <v>495</v>
      </c>
      <c r="W207" s="1065">
        <v>-4.0999999999999996</v>
      </c>
      <c r="X207" s="1065"/>
      <c r="Y207" s="1065">
        <f t="shared" si="38"/>
        <v>31</v>
      </c>
      <c r="Z207" s="1065">
        <f>Y207*('Ввод исходных данных'!$D$83-W207)</f>
        <v>685.1</v>
      </c>
      <c r="AA207" s="1066">
        <v>-7.7</v>
      </c>
      <c r="AB207" s="1066"/>
      <c r="AC207" s="1066">
        <f t="shared" si="39"/>
        <v>30</v>
      </c>
      <c r="AD207" s="1066">
        <f>AC207*('Ввод исходных данных'!$D$83-AA207)</f>
        <v>771</v>
      </c>
      <c r="AE207" s="1067">
        <v>-10.4</v>
      </c>
      <c r="AF207" s="1067"/>
      <c r="AG207" s="1067">
        <v>31</v>
      </c>
      <c r="AH207" s="1067">
        <f>AG207*('Ввод исходных данных'!$D$83-AE207)</f>
        <v>880.4</v>
      </c>
      <c r="AI207" s="1068">
        <v>-12.2</v>
      </c>
      <c r="AJ207" s="1068"/>
      <c r="AK207" s="1068">
        <v>31</v>
      </c>
      <c r="AL207" s="1068">
        <f>AK207*('Ввод исходных данных'!$D$83-AI207)</f>
        <v>936.19999999999993</v>
      </c>
      <c r="AM207" s="1069">
        <v>-12.6</v>
      </c>
      <c r="AN207" s="1069"/>
      <c r="AO207" s="1069">
        <v>28</v>
      </c>
      <c r="AP207" s="1069">
        <f>AO207*('Ввод исходных данных'!$D$83-AM207)</f>
        <v>856.80000000000007</v>
      </c>
      <c r="AQ207" s="1064">
        <v>-10.9</v>
      </c>
      <c r="AR207" s="1064"/>
      <c r="AS207" s="1064">
        <f t="shared" si="40"/>
        <v>31</v>
      </c>
      <c r="AT207" s="1064">
        <f>AS207*('Ввод исходных данных'!$D$83-AQ207)</f>
        <v>895.9</v>
      </c>
      <c r="AU207" s="1070">
        <v>-6.9</v>
      </c>
      <c r="AV207" s="1070"/>
      <c r="AW207" s="1070">
        <f t="shared" si="41"/>
        <v>30</v>
      </c>
      <c r="AX207" s="1070">
        <f>AW207*('Ввод исходных данных'!$D$83-AU207)</f>
        <v>747</v>
      </c>
      <c r="AY207" s="1071">
        <v>-1.9</v>
      </c>
      <c r="AZ207" s="1071"/>
      <c r="BA207" s="1071">
        <f t="shared" si="42"/>
        <v>31</v>
      </c>
      <c r="BB207" s="1071">
        <f>BA207*('Ввод исходных данных'!$D$83-AY207)</f>
        <v>616.9</v>
      </c>
      <c r="BC207" s="1072">
        <v>4.9000000000000004</v>
      </c>
      <c r="BD207" s="1072"/>
      <c r="BE207" s="1072">
        <f t="shared" si="34"/>
        <v>30</v>
      </c>
      <c r="BF207" s="1073">
        <f>BE207*('Ввод исходных данных'!$D$83-BC207)</f>
        <v>393</v>
      </c>
    </row>
    <row r="208" spans="2:58" ht="15.75" customHeight="1" x14ac:dyDescent="0.25">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8171.9000000000005</v>
      </c>
      <c r="J208" s="1059" t="str">
        <f t="shared" si="33"/>
        <v>8000-9000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229.99999999999997</v>
      </c>
      <c r="S208" s="1064">
        <v>4.9000000000000004</v>
      </c>
      <c r="T208" s="1064"/>
      <c r="U208" s="1064">
        <f t="shared" si="37"/>
        <v>30</v>
      </c>
      <c r="V208" s="1064">
        <f>U208*('Ввод исходных данных'!$D$83-S208)</f>
        <v>393</v>
      </c>
      <c r="W208" s="1065">
        <v>-2.2000000000000002</v>
      </c>
      <c r="X208" s="1065"/>
      <c r="Y208" s="1065">
        <f t="shared" si="38"/>
        <v>31</v>
      </c>
      <c r="Z208" s="1065">
        <f>Y208*('Ввод исходных данных'!$D$83-W208)</f>
        <v>626.19999999999993</v>
      </c>
      <c r="AA208" s="1066">
        <v>-9.5</v>
      </c>
      <c r="AB208" s="1066"/>
      <c r="AC208" s="1066">
        <f t="shared" si="39"/>
        <v>30</v>
      </c>
      <c r="AD208" s="1066">
        <f>AC208*('Ввод исходных данных'!$D$83-AA208)</f>
        <v>825</v>
      </c>
      <c r="AE208" s="1067">
        <v>-13.9</v>
      </c>
      <c r="AF208" s="1067"/>
      <c r="AG208" s="1067">
        <v>31</v>
      </c>
      <c r="AH208" s="1067">
        <f>AG208*('Ввод исходных данных'!$D$83-AE208)</f>
        <v>988.9</v>
      </c>
      <c r="AI208" s="1068">
        <v>-17.8</v>
      </c>
      <c r="AJ208" s="1068"/>
      <c r="AK208" s="1068">
        <v>31</v>
      </c>
      <c r="AL208" s="1068">
        <f>AK208*('Ввод исходных данных'!$D$83-AI208)</f>
        <v>1109.8</v>
      </c>
      <c r="AM208" s="1069">
        <v>-19.2</v>
      </c>
      <c r="AN208" s="1069"/>
      <c r="AO208" s="1069">
        <v>28</v>
      </c>
      <c r="AP208" s="1069">
        <f>AO208*('Ввод исходных данных'!$D$83-AM208)</f>
        <v>1041.6000000000001</v>
      </c>
      <c r="AQ208" s="1064">
        <v>-16.600000000000001</v>
      </c>
      <c r="AR208" s="1064"/>
      <c r="AS208" s="1064">
        <f t="shared" si="40"/>
        <v>31</v>
      </c>
      <c r="AT208" s="1064">
        <f>AS208*('Ввод исходных данных'!$D$83-AQ208)</f>
        <v>1072.6000000000001</v>
      </c>
      <c r="AU208" s="1070">
        <v>-9.5</v>
      </c>
      <c r="AV208" s="1070"/>
      <c r="AW208" s="1070">
        <f t="shared" si="41"/>
        <v>30</v>
      </c>
      <c r="AX208" s="1070">
        <f>AW208*('Ввод исходных данных'!$D$83-AU208)</f>
        <v>825</v>
      </c>
      <c r="AY208" s="1071">
        <v>-3.4</v>
      </c>
      <c r="AZ208" s="1071"/>
      <c r="BA208" s="1071">
        <f t="shared" si="42"/>
        <v>31</v>
      </c>
      <c r="BB208" s="1071">
        <f>BA208*('Ввод исходных данных'!$D$83-AY208)</f>
        <v>663.4</v>
      </c>
      <c r="BC208" s="1072">
        <v>2.8</v>
      </c>
      <c r="BD208" s="1072"/>
      <c r="BE208" s="1072">
        <f t="shared" si="34"/>
        <v>25</v>
      </c>
      <c r="BF208" s="1073">
        <f>BE208*('Ввод исходных данных'!$D$83-BC208)</f>
        <v>380</v>
      </c>
    </row>
    <row r="209" spans="1:58" ht="15.75" customHeight="1" x14ac:dyDescent="0.25">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7032.8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103.75000000000001</v>
      </c>
      <c r="S209" s="1064">
        <v>6.4</v>
      </c>
      <c r="T209" s="1064"/>
      <c r="U209" s="1064">
        <f t="shared" si="37"/>
        <v>30</v>
      </c>
      <c r="V209" s="1064">
        <f>U209*('Ввод исходных данных'!$D$83-S209)</f>
        <v>348</v>
      </c>
      <c r="W209" s="1065">
        <v>0.2</v>
      </c>
      <c r="X209" s="1065"/>
      <c r="Y209" s="1065">
        <f t="shared" si="38"/>
        <v>31</v>
      </c>
      <c r="Z209" s="1065">
        <f>Y209*('Ввод исходных данных'!$D$83-W209)</f>
        <v>551.80000000000007</v>
      </c>
      <c r="AA209" s="1066">
        <v>-6.5</v>
      </c>
      <c r="AB209" s="1066"/>
      <c r="AC209" s="1066">
        <f t="shared" si="39"/>
        <v>30</v>
      </c>
      <c r="AD209" s="1066">
        <f>AC209*('Ввод исходных данных'!$D$83-AA209)</f>
        <v>735</v>
      </c>
      <c r="AE209" s="1067">
        <v>-10.8</v>
      </c>
      <c r="AF209" s="1067"/>
      <c r="AG209" s="1067">
        <v>31</v>
      </c>
      <c r="AH209" s="1067">
        <f>AG209*('Ввод исходных данных'!$D$83-AE209)</f>
        <v>892.80000000000007</v>
      </c>
      <c r="AI209" s="1068">
        <v>-15.2</v>
      </c>
      <c r="AJ209" s="1068"/>
      <c r="AK209" s="1068">
        <v>31</v>
      </c>
      <c r="AL209" s="1068">
        <f>AK209*('Ввод исходных данных'!$D$83-AI209)</f>
        <v>1029.2</v>
      </c>
      <c r="AM209" s="1069">
        <v>-14.9</v>
      </c>
      <c r="AN209" s="1069"/>
      <c r="AO209" s="1069">
        <v>28</v>
      </c>
      <c r="AP209" s="1069">
        <f>AO209*('Ввод исходных данных'!$D$83-AM209)</f>
        <v>921.19999999999993</v>
      </c>
      <c r="AQ209" s="1064">
        <v>-10.1</v>
      </c>
      <c r="AR209" s="1064"/>
      <c r="AS209" s="1064">
        <f t="shared" si="40"/>
        <v>31</v>
      </c>
      <c r="AT209" s="1064">
        <f>AS209*('Ввод исходных данных'!$D$83-AQ209)</f>
        <v>871.1</v>
      </c>
      <c r="AU209" s="1070">
        <v>-6.6</v>
      </c>
      <c r="AV209" s="1070"/>
      <c r="AW209" s="1070">
        <f t="shared" si="41"/>
        <v>30</v>
      </c>
      <c r="AX209" s="1070">
        <f>AW209*('Ввод исходных данных'!$D$83-AU209)</f>
        <v>738</v>
      </c>
      <c r="AY209" s="1071">
        <v>-0.4</v>
      </c>
      <c r="AZ209" s="1071"/>
      <c r="BA209" s="1071">
        <f t="shared" si="42"/>
        <v>31</v>
      </c>
      <c r="BB209" s="1071">
        <f>BA209*('Ввод исходных данных'!$D$83-AY209)</f>
        <v>570.4</v>
      </c>
      <c r="BC209" s="1072">
        <v>5.9</v>
      </c>
      <c r="BD209" s="1072"/>
      <c r="BE209" s="1072">
        <f t="shared" si="34"/>
        <v>12.5</v>
      </c>
      <c r="BF209" s="1073">
        <f>BE209*('Ввод исходных данных'!$D$83-BC209)</f>
        <v>151.25</v>
      </c>
    </row>
    <row r="210" spans="1:58" ht="15.75" customHeight="1" x14ac:dyDescent="0.25">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6446.4</v>
      </c>
      <c r="J210" s="1059" t="str">
        <f t="shared" si="33"/>
        <v>6000-7000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204.25</v>
      </c>
      <c r="S210" s="1064">
        <v>6</v>
      </c>
      <c r="T210" s="1064"/>
      <c r="U210" s="1064">
        <f t="shared" si="37"/>
        <v>30</v>
      </c>
      <c r="V210" s="1064">
        <f>U210*('Ввод исходных данных'!$D$83-S210)</f>
        <v>360</v>
      </c>
      <c r="W210" s="1065">
        <v>1.7</v>
      </c>
      <c r="X210" s="1065"/>
      <c r="Y210" s="1065">
        <f t="shared" si="38"/>
        <v>31</v>
      </c>
      <c r="Z210" s="1065">
        <f>Y210*('Ввод исходных данных'!$D$83-W210)</f>
        <v>505.3</v>
      </c>
      <c r="AA210" s="1066">
        <v>-2.2999999999999998</v>
      </c>
      <c r="AB210" s="1066"/>
      <c r="AC210" s="1066">
        <f t="shared" si="39"/>
        <v>30</v>
      </c>
      <c r="AD210" s="1066">
        <f>AC210*('Ввод исходных данных'!$D$83-AA210)</f>
        <v>609</v>
      </c>
      <c r="AE210" s="1067">
        <v>-5.5</v>
      </c>
      <c r="AF210" s="1067"/>
      <c r="AG210" s="1067">
        <v>31</v>
      </c>
      <c r="AH210" s="1067">
        <f>AG210*('Ввод исходных данных'!$D$83-AE210)</f>
        <v>728.5</v>
      </c>
      <c r="AI210" s="1068">
        <v>-8.6999999999999993</v>
      </c>
      <c r="AJ210" s="1068"/>
      <c r="AK210" s="1068">
        <v>31</v>
      </c>
      <c r="AL210" s="1068">
        <f>AK210*('Ввод исходных данных'!$D$83-AI210)</f>
        <v>827.69999999999993</v>
      </c>
      <c r="AM210" s="1069">
        <v>-9.6999999999999993</v>
      </c>
      <c r="AN210" s="1069"/>
      <c r="AO210" s="1069">
        <v>28</v>
      </c>
      <c r="AP210" s="1069">
        <f>AO210*('Ввод исходных данных'!$D$83-AM210)</f>
        <v>775.6</v>
      </c>
      <c r="AQ210" s="1064">
        <v>-7.2</v>
      </c>
      <c r="AR210" s="1064"/>
      <c r="AS210" s="1064">
        <f t="shared" si="40"/>
        <v>31</v>
      </c>
      <c r="AT210" s="1064">
        <f>AS210*('Ввод исходных данных'!$D$83-AQ210)</f>
        <v>781.19999999999993</v>
      </c>
      <c r="AU210" s="1070">
        <v>-4.8</v>
      </c>
      <c r="AV210" s="1070"/>
      <c r="AW210" s="1070">
        <f t="shared" si="41"/>
        <v>30</v>
      </c>
      <c r="AX210" s="1070">
        <f>AW210*('Ввод исходных данных'!$D$83-AU210)</f>
        <v>684</v>
      </c>
      <c r="AY210" s="1071">
        <v>-0.7</v>
      </c>
      <c r="AZ210" s="1071"/>
      <c r="BA210" s="1071">
        <f t="shared" si="42"/>
        <v>31</v>
      </c>
      <c r="BB210" s="1071">
        <f>BA210*('Ввод исходных данных'!$D$83-AY210)</f>
        <v>579.69999999999993</v>
      </c>
      <c r="BC210" s="1072">
        <v>4.4000000000000004</v>
      </c>
      <c r="BD210" s="1072"/>
      <c r="BE210" s="1072">
        <f t="shared" si="34"/>
        <v>21.5</v>
      </c>
      <c r="BF210" s="1073">
        <f>BE210*('Ввод исходных данных'!$D$83-BC210)</f>
        <v>292.39999999999998</v>
      </c>
    </row>
    <row r="211" spans="1:58" ht="15.75" customHeight="1" x14ac:dyDescent="0.25">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7153.5</v>
      </c>
      <c r="J211" s="1059" t="str">
        <f t="shared" si="33"/>
        <v>7000-8000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42.599999999999994</v>
      </c>
      <c r="S211" s="1064">
        <v>5.6</v>
      </c>
      <c r="T211" s="1064"/>
      <c r="U211" s="1064">
        <f t="shared" si="37"/>
        <v>30</v>
      </c>
      <c r="V211" s="1064">
        <f>U211*('Ввод исходных данных'!$D$83-S211)</f>
        <v>372</v>
      </c>
      <c r="W211" s="1065">
        <v>-1.8</v>
      </c>
      <c r="X211" s="1065"/>
      <c r="Y211" s="1065">
        <f t="shared" si="38"/>
        <v>31</v>
      </c>
      <c r="Z211" s="1065">
        <f>Y211*('Ввод исходных данных'!$D$83-W211)</f>
        <v>613.80000000000007</v>
      </c>
      <c r="AA211" s="1066">
        <v>-9</v>
      </c>
      <c r="AB211" s="1066"/>
      <c r="AC211" s="1066">
        <f t="shared" si="39"/>
        <v>30</v>
      </c>
      <c r="AD211" s="1066">
        <f>AC211*('Ввод исходных данных'!$D$83-AA211)</f>
        <v>810</v>
      </c>
      <c r="AE211" s="1067">
        <v>-13.5</v>
      </c>
      <c r="AF211" s="1067"/>
      <c r="AG211" s="1067">
        <v>31</v>
      </c>
      <c r="AH211" s="1067">
        <f>AG211*('Ввод исходных данных'!$D$83-AE211)</f>
        <v>976.5</v>
      </c>
      <c r="AI211" s="1068">
        <v>-17.3</v>
      </c>
      <c r="AJ211" s="1068"/>
      <c r="AK211" s="1068">
        <v>31</v>
      </c>
      <c r="AL211" s="1068">
        <f>AK211*('Ввод исходных данных'!$D$83-AI211)</f>
        <v>1094.3</v>
      </c>
      <c r="AM211" s="1069">
        <v>-17.8</v>
      </c>
      <c r="AN211" s="1069"/>
      <c r="AO211" s="1069">
        <v>28</v>
      </c>
      <c r="AP211" s="1069">
        <f>AO211*('Ввод исходных данных'!$D$83-AM211)</f>
        <v>1002.3999999999999</v>
      </c>
      <c r="AQ211" s="1064">
        <v>-12.6</v>
      </c>
      <c r="AR211" s="1064"/>
      <c r="AS211" s="1064">
        <f t="shared" si="40"/>
        <v>31</v>
      </c>
      <c r="AT211" s="1064">
        <f>AS211*('Ввод исходных данных'!$D$83-AQ211)</f>
        <v>948.6</v>
      </c>
      <c r="AU211" s="1070">
        <v>-5.4</v>
      </c>
      <c r="AV211" s="1070"/>
      <c r="AW211" s="1070">
        <f t="shared" si="41"/>
        <v>30</v>
      </c>
      <c r="AX211" s="1070">
        <f>AW211*('Ввод исходных данных'!$D$83-AU211)</f>
        <v>702</v>
      </c>
      <c r="AY211" s="1071">
        <v>0.9</v>
      </c>
      <c r="AZ211" s="1071"/>
      <c r="BA211" s="1071">
        <f t="shared" si="42"/>
        <v>31</v>
      </c>
      <c r="BB211" s="1071">
        <f>BA211*('Ввод исходных данных'!$D$83-AY211)</f>
        <v>530.1</v>
      </c>
      <c r="BC211" s="1072">
        <v>8.4</v>
      </c>
      <c r="BD211" s="1072"/>
      <c r="BE211" s="1072">
        <f t="shared" si="34"/>
        <v>6</v>
      </c>
      <c r="BF211" s="1073">
        <f>BE211*('Ввод исходных данных'!$D$83-BC211)</f>
        <v>57.599999999999994</v>
      </c>
    </row>
    <row r="212" spans="1:58" ht="15.75" customHeight="1" x14ac:dyDescent="0.25">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7369.5</v>
      </c>
      <c r="J212" s="1059" t="str">
        <f t="shared" si="33"/>
        <v>7000-8000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60.8</v>
      </c>
      <c r="S212" s="1064">
        <v>5.8</v>
      </c>
      <c r="T212" s="1064"/>
      <c r="U212" s="1064">
        <f t="shared" si="37"/>
        <v>30</v>
      </c>
      <c r="V212" s="1064">
        <f>U212*('Ввод исходных данных'!$D$83-S212)</f>
        <v>366</v>
      </c>
      <c r="W212" s="1065">
        <v>-1.6</v>
      </c>
      <c r="X212" s="1065"/>
      <c r="Y212" s="1065">
        <f t="shared" si="38"/>
        <v>31</v>
      </c>
      <c r="Z212" s="1065">
        <f>Y212*('Ввод исходных данных'!$D$83-W212)</f>
        <v>607.6</v>
      </c>
      <c r="AA212" s="1066">
        <v>-9.5</v>
      </c>
      <c r="AB212" s="1066"/>
      <c r="AC212" s="1066">
        <f t="shared" si="39"/>
        <v>30</v>
      </c>
      <c r="AD212" s="1066">
        <f>AC212*('Ввод исходных данных'!$D$83-AA212)</f>
        <v>825</v>
      </c>
      <c r="AE212" s="1067">
        <v>-13.8</v>
      </c>
      <c r="AF212" s="1067"/>
      <c r="AG212" s="1067">
        <v>31</v>
      </c>
      <c r="AH212" s="1067">
        <f>AG212*('Ввод исходных данных'!$D$83-AE212)</f>
        <v>985.80000000000007</v>
      </c>
      <c r="AI212" s="1068">
        <v>-18.100000000000001</v>
      </c>
      <c r="AJ212" s="1068"/>
      <c r="AK212" s="1068">
        <v>31</v>
      </c>
      <c r="AL212" s="1068">
        <f>AK212*('Ввод исходных данных'!$D$83-AI212)</f>
        <v>1119.1000000000001</v>
      </c>
      <c r="AM212" s="1069">
        <v>-17.399999999999999</v>
      </c>
      <c r="AN212" s="1069"/>
      <c r="AO212" s="1069">
        <v>28</v>
      </c>
      <c r="AP212" s="1069">
        <f>AO212*('Ввод исходных данных'!$D$83-AM212)</f>
        <v>991.19999999999993</v>
      </c>
      <c r="AQ212" s="1064">
        <v>-11.2</v>
      </c>
      <c r="AR212" s="1064"/>
      <c r="AS212" s="1064">
        <f t="shared" si="40"/>
        <v>31</v>
      </c>
      <c r="AT212" s="1064">
        <f>AS212*('Ввод исходных данных'!$D$83-AQ212)</f>
        <v>905.19999999999993</v>
      </c>
      <c r="AU212" s="1070">
        <v>-7</v>
      </c>
      <c r="AV212" s="1070"/>
      <c r="AW212" s="1070">
        <f t="shared" si="41"/>
        <v>30</v>
      </c>
      <c r="AX212" s="1070">
        <f>AW212*('Ввод исходных данных'!$D$83-AU212)</f>
        <v>750</v>
      </c>
      <c r="AY212" s="1071">
        <v>0</v>
      </c>
      <c r="AZ212" s="1071"/>
      <c r="BA212" s="1071">
        <f t="shared" si="42"/>
        <v>31</v>
      </c>
      <c r="BB212" s="1071">
        <f>BA212*('Ввод исходных данных'!$D$83-AY212)</f>
        <v>558</v>
      </c>
      <c r="BC212" s="1072">
        <v>8</v>
      </c>
      <c r="BD212" s="1072"/>
      <c r="BE212" s="1072">
        <f t="shared" si="34"/>
        <v>8</v>
      </c>
      <c r="BF212" s="1073">
        <f>BE212*('Ввод исходных данных'!$D$83-BC212)</f>
        <v>80</v>
      </c>
    </row>
    <row r="213" spans="1:58" ht="15.75" customHeight="1" x14ac:dyDescent="0.25">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7986</v>
      </c>
      <c r="J213" s="1059" t="str">
        <f t="shared" si="33"/>
        <v>7000-8000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273.59999999999997</v>
      </c>
      <c r="S213" s="1064">
        <v>5.0999999999999996</v>
      </c>
      <c r="T213" s="1064"/>
      <c r="U213" s="1064">
        <f t="shared" si="37"/>
        <v>30</v>
      </c>
      <c r="V213" s="1064">
        <f>U213*('Ввод исходных данных'!$D$83-S213)</f>
        <v>387</v>
      </c>
      <c r="W213" s="1065">
        <v>-1</v>
      </c>
      <c r="X213" s="1065"/>
      <c r="Y213" s="1065">
        <f t="shared" si="38"/>
        <v>31</v>
      </c>
      <c r="Z213" s="1065">
        <f>Y213*('Ввод исходных данных'!$D$83-W213)</f>
        <v>589</v>
      </c>
      <c r="AA213" s="1066">
        <v>-6.9</v>
      </c>
      <c r="AB213" s="1066"/>
      <c r="AC213" s="1066">
        <f t="shared" si="39"/>
        <v>30</v>
      </c>
      <c r="AD213" s="1066">
        <f>AC213*('Ввод исходных данных'!$D$83-AA213)</f>
        <v>747</v>
      </c>
      <c r="AE213" s="1067">
        <v>-11.7</v>
      </c>
      <c r="AF213" s="1067"/>
      <c r="AG213" s="1067">
        <v>31</v>
      </c>
      <c r="AH213" s="1067">
        <f>AG213*('Ввод исходных данных'!$D$83-AE213)</f>
        <v>920.69999999999993</v>
      </c>
      <c r="AI213" s="1068">
        <v>-15.5</v>
      </c>
      <c r="AJ213" s="1068"/>
      <c r="AK213" s="1068">
        <v>31</v>
      </c>
      <c r="AL213" s="1068">
        <f>AK213*('Ввод исходных данных'!$D$83-AI213)</f>
        <v>1038.5</v>
      </c>
      <c r="AM213" s="1069">
        <v>-16.899999999999999</v>
      </c>
      <c r="AN213" s="1069"/>
      <c r="AO213" s="1069">
        <v>28</v>
      </c>
      <c r="AP213" s="1069">
        <f>AO213*('Ввод исходных данных'!$D$83-AM213)</f>
        <v>977.19999999999993</v>
      </c>
      <c r="AQ213" s="1064">
        <v>-14.6</v>
      </c>
      <c r="AR213" s="1064"/>
      <c r="AS213" s="1064">
        <f t="shared" si="40"/>
        <v>31</v>
      </c>
      <c r="AT213" s="1064">
        <f>AS213*('Ввод исходных данных'!$D$83-AQ213)</f>
        <v>1010.6</v>
      </c>
      <c r="AU213" s="1070">
        <v>-8.6</v>
      </c>
      <c r="AV213" s="1070"/>
      <c r="AW213" s="1070">
        <f t="shared" si="41"/>
        <v>30</v>
      </c>
      <c r="AX213" s="1070">
        <f>AW213*('Ввод исходных данных'!$D$83-AU213)</f>
        <v>798</v>
      </c>
      <c r="AY213" s="1071">
        <v>-2.9</v>
      </c>
      <c r="AZ213" s="1071"/>
      <c r="BA213" s="1071">
        <f t="shared" si="42"/>
        <v>31</v>
      </c>
      <c r="BB213" s="1071">
        <f>BA213*('Ввод исходных данных'!$D$83-AY213)</f>
        <v>647.9</v>
      </c>
      <c r="BC213" s="1072">
        <v>-2.5</v>
      </c>
      <c r="BD213" s="1072"/>
      <c r="BE213" s="1072">
        <f t="shared" si="34"/>
        <v>28.5</v>
      </c>
      <c r="BF213" s="1073">
        <f>BE213*('Ввод исходных данных'!$D$83-BC213)</f>
        <v>584.25</v>
      </c>
    </row>
    <row r="214" spans="1:58" ht="15.75" customHeight="1" x14ac:dyDescent="0.25">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7873.6</v>
      </c>
      <c r="J214" s="1059" t="str">
        <f t="shared" si="33"/>
        <v>7000-8000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93.149999999999991</v>
      </c>
      <c r="S214" s="1064">
        <v>4.9000000000000004</v>
      </c>
      <c r="T214" s="1064"/>
      <c r="U214" s="1064">
        <f t="shared" si="37"/>
        <v>30</v>
      </c>
      <c r="V214" s="1064">
        <f>U214*('Ввод исходных данных'!$D$83-S214)</f>
        <v>393</v>
      </c>
      <c r="W214" s="1065">
        <v>-3.4</v>
      </c>
      <c r="X214" s="1065"/>
      <c r="Y214" s="1065">
        <f t="shared" si="38"/>
        <v>31</v>
      </c>
      <c r="Z214" s="1065">
        <f>Y214*('Ввод исходных данных'!$D$83-W214)</f>
        <v>663.4</v>
      </c>
      <c r="AA214" s="1066">
        <v>-12.1</v>
      </c>
      <c r="AB214" s="1066"/>
      <c r="AC214" s="1066">
        <f t="shared" si="39"/>
        <v>30</v>
      </c>
      <c r="AD214" s="1066">
        <f>AC214*('Ввод исходных данных'!$D$83-AA214)</f>
        <v>903</v>
      </c>
      <c r="AE214" s="1067">
        <v>-16.600000000000001</v>
      </c>
      <c r="AF214" s="1067"/>
      <c r="AG214" s="1067">
        <v>31</v>
      </c>
      <c r="AH214" s="1067">
        <f>AG214*('Ввод исходных данных'!$D$83-AE214)</f>
        <v>1072.6000000000001</v>
      </c>
      <c r="AI214" s="1068">
        <v>-20.399999999999999</v>
      </c>
      <c r="AJ214" s="1068"/>
      <c r="AK214" s="1068">
        <v>31</v>
      </c>
      <c r="AL214" s="1068">
        <f>AK214*('Ввод исходных данных'!$D$83-AI214)</f>
        <v>1190.3999999999999</v>
      </c>
      <c r="AM214" s="1069">
        <v>-19.7</v>
      </c>
      <c r="AN214" s="1069"/>
      <c r="AO214" s="1069">
        <v>28</v>
      </c>
      <c r="AP214" s="1069">
        <f>AO214*('Ввод исходных данных'!$D$83-AM214)</f>
        <v>1055.6000000000001</v>
      </c>
      <c r="AQ214" s="1064">
        <v>-13</v>
      </c>
      <c r="AR214" s="1064"/>
      <c r="AS214" s="1064">
        <f t="shared" si="40"/>
        <v>31</v>
      </c>
      <c r="AT214" s="1064">
        <f>AS214*('Ввод исходных данных'!$D$83-AQ214)</f>
        <v>961</v>
      </c>
      <c r="AU214" s="1070">
        <v>-8.6</v>
      </c>
      <c r="AV214" s="1070"/>
      <c r="AW214" s="1070">
        <f t="shared" si="41"/>
        <v>30</v>
      </c>
      <c r="AX214" s="1070">
        <f>AW214*('Ввод исходных данных'!$D$83-AU214)</f>
        <v>798</v>
      </c>
      <c r="AY214" s="1071">
        <v>-0.8</v>
      </c>
      <c r="AZ214" s="1071"/>
      <c r="BA214" s="1071">
        <f t="shared" si="42"/>
        <v>31</v>
      </c>
      <c r="BB214" s="1071">
        <f>BA214*('Ввод исходных данных'!$D$83-AY214)</f>
        <v>582.80000000000007</v>
      </c>
      <c r="BC214" s="1072">
        <v>8.1</v>
      </c>
      <c r="BD214" s="1072"/>
      <c r="BE214" s="1072">
        <f t="shared" si="34"/>
        <v>11.5</v>
      </c>
      <c r="BF214" s="1073">
        <f>BE214*('Ввод исходных данных'!$D$83-BC214)</f>
        <v>113.85000000000001</v>
      </c>
    </row>
    <row r="215" spans="1:58" ht="15.75" customHeight="1" x14ac:dyDescent="0.25">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4903.2</v>
      </c>
      <c r="J215" s="1059" t="str">
        <f t="shared" si="33"/>
        <v>4000-5000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14.399999999999999</v>
      </c>
      <c r="W215" s="1065">
        <v>3.5</v>
      </c>
      <c r="X215" s="1065"/>
      <c r="Y215" s="1065">
        <f t="shared" si="38"/>
        <v>31</v>
      </c>
      <c r="Z215" s="1065">
        <f>Y215*('Ввод исходных данных'!$D$83-W215)</f>
        <v>449.5</v>
      </c>
      <c r="AA215" s="1066">
        <v>-3.6</v>
      </c>
      <c r="AB215" s="1066"/>
      <c r="AC215" s="1066">
        <f t="shared" si="39"/>
        <v>30</v>
      </c>
      <c r="AD215" s="1066">
        <f>AC215*('Ввод исходных данных'!$D$83-AA215)</f>
        <v>648</v>
      </c>
      <c r="AE215" s="1067">
        <v>-9.4</v>
      </c>
      <c r="AF215" s="1067"/>
      <c r="AG215" s="1067">
        <v>31</v>
      </c>
      <c r="AH215" s="1067">
        <f>AG215*('Ввод исходных данных'!$D$83-AE215)</f>
        <v>849.4</v>
      </c>
      <c r="AI215" s="1068">
        <v>-12.4</v>
      </c>
      <c r="AJ215" s="1068"/>
      <c r="AK215" s="1068">
        <v>31</v>
      </c>
      <c r="AL215" s="1068">
        <f>AK215*('Ввод исходных данных'!$D$83-AI215)</f>
        <v>942.4</v>
      </c>
      <c r="AM215" s="1069">
        <v>-11.9</v>
      </c>
      <c r="AN215" s="1069"/>
      <c r="AO215" s="1069">
        <v>28</v>
      </c>
      <c r="AP215" s="1069">
        <f>AO215*('Ввод исходных данных'!$D$83-AM215)</f>
        <v>837.19999999999993</v>
      </c>
      <c r="AQ215" s="1064">
        <v>-6.5</v>
      </c>
      <c r="AR215" s="1064"/>
      <c r="AS215" s="1064">
        <f t="shared" si="40"/>
        <v>31</v>
      </c>
      <c r="AT215" s="1064">
        <f>AS215*('Ввод исходных данных'!$D$83-AQ215)</f>
        <v>759.5</v>
      </c>
      <c r="AU215" s="1070">
        <v>3.5</v>
      </c>
      <c r="AV215" s="1070"/>
      <c r="AW215" s="1070">
        <f t="shared" si="41"/>
        <v>30</v>
      </c>
      <c r="AX215" s="1070">
        <f>AW215*('Ввод исходных данных'!$D$83-AU215)</f>
        <v>435</v>
      </c>
      <c r="AY215" s="1071">
        <v>12</v>
      </c>
      <c r="AZ215" s="1071"/>
      <c r="BA215" s="1071">
        <f t="shared" si="42"/>
        <v>2</v>
      </c>
      <c r="BB215" s="1071">
        <f>BA215*('Ввод исходных данных'!$D$83-AY215)</f>
        <v>12</v>
      </c>
      <c r="BC215" s="1072">
        <v>16.899999999999999</v>
      </c>
      <c r="BD215" s="1072"/>
      <c r="BE215" s="1072">
        <f t="shared" si="34"/>
        <v>0</v>
      </c>
      <c r="BF215" s="1073">
        <f>BE215*('Ввод исходных данных'!$D$83-BC215)</f>
        <v>0</v>
      </c>
    </row>
    <row r="216" spans="1:58" ht="15.75" customHeight="1" x14ac:dyDescent="0.25">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4664</v>
      </c>
      <c r="J216" s="1059" t="str">
        <f t="shared" si="33"/>
        <v>4000-5000</v>
      </c>
      <c r="K216" s="1060">
        <v>18.899999999999999</v>
      </c>
      <c r="L216" s="1060"/>
      <c r="M216" s="1061">
        <f t="shared" si="35"/>
        <v>0.5</v>
      </c>
      <c r="N216" s="1062">
        <f>M216*('Ввод исходных данных'!$D$83-K216)</f>
        <v>-0.44999999999999929</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427</v>
      </c>
      <c r="AA216" s="1066">
        <v>-2.8</v>
      </c>
      <c r="AB216" s="1066"/>
      <c r="AC216" s="1066">
        <f t="shared" si="39"/>
        <v>30</v>
      </c>
      <c r="AD216" s="1066">
        <f>AC216*('Ввод исходных данных'!$D$83-AA216)</f>
        <v>624</v>
      </c>
      <c r="AE216" s="1067">
        <v>-8.5</v>
      </c>
      <c r="AF216" s="1067"/>
      <c r="AG216" s="1067">
        <v>31</v>
      </c>
      <c r="AH216" s="1067">
        <f>AG216*('Ввод исходных данных'!$D$83-AE216)</f>
        <v>821.5</v>
      </c>
      <c r="AI216" s="1068">
        <v>-11.3</v>
      </c>
      <c r="AJ216" s="1068"/>
      <c r="AK216" s="1068">
        <v>31</v>
      </c>
      <c r="AL216" s="1068">
        <f>AK216*('Ввод исходных данных'!$D$83-AI216)</f>
        <v>908.30000000000007</v>
      </c>
      <c r="AM216" s="1069">
        <v>-10.8</v>
      </c>
      <c r="AN216" s="1069"/>
      <c r="AO216" s="1069">
        <v>28</v>
      </c>
      <c r="AP216" s="1069">
        <f>AO216*('Ввод исходных данных'!$D$83-AM216)</f>
        <v>806.4</v>
      </c>
      <c r="AQ216" s="1064">
        <v>-5.0999999999999996</v>
      </c>
      <c r="AR216" s="1064"/>
      <c r="AS216" s="1064">
        <f t="shared" si="40"/>
        <v>31</v>
      </c>
      <c r="AT216" s="1064">
        <f>AS216*('Ввод исходных данных'!$D$83-AQ216)</f>
        <v>716.1</v>
      </c>
      <c r="AU216" s="1070">
        <v>4.4000000000000004</v>
      </c>
      <c r="AV216" s="1070"/>
      <c r="AW216" s="1070">
        <f t="shared" si="41"/>
        <v>30</v>
      </c>
      <c r="AX216" s="1070">
        <f>AW216*('Ввод исходных данных'!$D$83-AU216)</f>
        <v>408</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25">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4751.5</v>
      </c>
      <c r="J217" s="1059" t="str">
        <f t="shared" si="33"/>
        <v>4000-5000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10.5</v>
      </c>
      <c r="W217" s="1065">
        <v>3.6</v>
      </c>
      <c r="X217" s="1065"/>
      <c r="Y217" s="1065">
        <f t="shared" si="38"/>
        <v>31</v>
      </c>
      <c r="Z217" s="1065">
        <f>Y217*('Ввод исходных данных'!$D$83-W217)</f>
        <v>446.40000000000003</v>
      </c>
      <c r="AA217" s="1066">
        <v>-2.8</v>
      </c>
      <c r="AB217" s="1066"/>
      <c r="AC217" s="1066">
        <f t="shared" si="39"/>
        <v>30</v>
      </c>
      <c r="AD217" s="1066">
        <f>AC217*('Ввод исходных данных'!$D$83-AA217)</f>
        <v>624</v>
      </c>
      <c r="AE217" s="1067">
        <v>-8.9</v>
      </c>
      <c r="AF217" s="1067"/>
      <c r="AG217" s="1067">
        <v>31</v>
      </c>
      <c r="AH217" s="1067">
        <f>AG217*('Ввод исходных данных'!$D$83-AE217)</f>
        <v>833.9</v>
      </c>
      <c r="AI217" s="1068">
        <v>-11.8</v>
      </c>
      <c r="AJ217" s="1068"/>
      <c r="AK217" s="1068">
        <v>31</v>
      </c>
      <c r="AL217" s="1068">
        <f>AK217*('Ввод исходных данных'!$D$83-AI217)</f>
        <v>923.80000000000007</v>
      </c>
      <c r="AM217" s="1069">
        <v>-11.1</v>
      </c>
      <c r="AN217" s="1069"/>
      <c r="AO217" s="1069">
        <v>28</v>
      </c>
      <c r="AP217" s="1069">
        <f>AO217*('Ввод исходных данных'!$D$83-AM217)</f>
        <v>814.80000000000007</v>
      </c>
      <c r="AQ217" s="1064">
        <v>-5</v>
      </c>
      <c r="AR217" s="1064"/>
      <c r="AS217" s="1064">
        <f t="shared" si="40"/>
        <v>31</v>
      </c>
      <c r="AT217" s="1064">
        <f>AS217*('Ввод исходных данных'!$D$83-AQ217)</f>
        <v>713</v>
      </c>
      <c r="AU217" s="1070">
        <v>4.2</v>
      </c>
      <c r="AV217" s="1070"/>
      <c r="AW217" s="1070">
        <f t="shared" si="41"/>
        <v>30</v>
      </c>
      <c r="AX217" s="1070">
        <f>AW217*('Ввод исходных данных'!$D$83-AU217)</f>
        <v>414</v>
      </c>
      <c r="AY217" s="1071">
        <v>12</v>
      </c>
      <c r="AZ217" s="1071"/>
      <c r="BA217" s="1071">
        <f t="shared" si="42"/>
        <v>1.5</v>
      </c>
      <c r="BB217" s="1071">
        <f>BA217*('Ввод исходных данных'!$D$83-AY217)</f>
        <v>9</v>
      </c>
      <c r="BC217" s="1072">
        <v>16.399999999999999</v>
      </c>
      <c r="BD217" s="1072"/>
      <c r="BE217" s="1072">
        <f t="shared" si="34"/>
        <v>0</v>
      </c>
      <c r="BF217" s="1073">
        <f>BE217*('Ввод исходных данных'!$D$83-BC217)</f>
        <v>0</v>
      </c>
    </row>
    <row r="218" spans="1:58" ht="15.75" customHeight="1" x14ac:dyDescent="0.25">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4576</v>
      </c>
      <c r="J218" s="1059" t="str">
        <f t="shared" si="33"/>
        <v>4000-5000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32</v>
      </c>
      <c r="W218" s="1065">
        <v>4.2</v>
      </c>
      <c r="X218" s="1065"/>
      <c r="Y218" s="1065">
        <f t="shared" si="38"/>
        <v>31</v>
      </c>
      <c r="Z218" s="1065">
        <f>Y218*('Ввод исходных данных'!$D$83-W218)</f>
        <v>427.8</v>
      </c>
      <c r="AA218" s="1066">
        <v>-1.6</v>
      </c>
      <c r="AB218" s="1066"/>
      <c r="AC218" s="1066">
        <f t="shared" si="39"/>
        <v>30</v>
      </c>
      <c r="AD218" s="1066">
        <f>AC218*('Ввод исходных данных'!$D$83-AA218)</f>
        <v>588</v>
      </c>
      <c r="AE218" s="1067">
        <v>-6.7</v>
      </c>
      <c r="AF218" s="1067"/>
      <c r="AG218" s="1067">
        <v>31</v>
      </c>
      <c r="AH218" s="1067">
        <f>AG218*('Ввод исходных данных'!$D$83-AE218)</f>
        <v>765.69999999999993</v>
      </c>
      <c r="AI218" s="1068">
        <v>-9.8000000000000007</v>
      </c>
      <c r="AJ218" s="1068"/>
      <c r="AK218" s="1068">
        <v>31</v>
      </c>
      <c r="AL218" s="1068">
        <f>AK218*('Ввод исходных данных'!$D$83-AI218)</f>
        <v>861.80000000000007</v>
      </c>
      <c r="AM218" s="1069">
        <v>-8.8000000000000007</v>
      </c>
      <c r="AN218" s="1069"/>
      <c r="AO218" s="1069">
        <v>28</v>
      </c>
      <c r="AP218" s="1069">
        <f>AO218*('Ввод исходных данных'!$D$83-AM218)</f>
        <v>750.4</v>
      </c>
      <c r="AQ218" s="1064">
        <v>-3.8</v>
      </c>
      <c r="AR218" s="1064"/>
      <c r="AS218" s="1064">
        <f t="shared" si="40"/>
        <v>31</v>
      </c>
      <c r="AT218" s="1064">
        <f>AS218*('Ввод исходных данных'!$D$83-AQ218)</f>
        <v>675.80000000000007</v>
      </c>
      <c r="AU218" s="1070">
        <v>3.8</v>
      </c>
      <c r="AV218" s="1070"/>
      <c r="AW218" s="1070">
        <f t="shared" si="41"/>
        <v>30</v>
      </c>
      <c r="AX218" s="1070">
        <f>AW218*('Ввод исходных данных'!$D$83-AU218)</f>
        <v>426</v>
      </c>
      <c r="AY218" s="1071">
        <v>11</v>
      </c>
      <c r="AZ218" s="1071"/>
      <c r="BA218" s="1071">
        <f t="shared" si="42"/>
        <v>4</v>
      </c>
      <c r="BB218" s="1071">
        <f>BA218*('Ввод исходных данных'!$D$83-AY218)</f>
        <v>28</v>
      </c>
      <c r="BC218" s="1072">
        <v>15.4</v>
      </c>
      <c r="BD218" s="1072"/>
      <c r="BE218" s="1072">
        <f t="shared" si="34"/>
        <v>0</v>
      </c>
      <c r="BF218" s="1073">
        <f>BE218*('Ввод исходных данных'!$D$83-BC218)</f>
        <v>0</v>
      </c>
    </row>
    <row r="219" spans="1:58" ht="15.75" customHeight="1" x14ac:dyDescent="0.25">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4486.3</v>
      </c>
      <c r="J219" s="1059" t="str">
        <f t="shared" si="33"/>
        <v>4000-5000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34.65</v>
      </c>
      <c r="W219" s="1065">
        <v>4.2</v>
      </c>
      <c r="X219" s="1065"/>
      <c r="Y219" s="1065">
        <f t="shared" si="38"/>
        <v>31</v>
      </c>
      <c r="Z219" s="1065">
        <f>Y219*('Ввод исходных данных'!$D$83-W219)</f>
        <v>427.8</v>
      </c>
      <c r="AA219" s="1066">
        <v>-0.9</v>
      </c>
      <c r="AB219" s="1066"/>
      <c r="AC219" s="1066">
        <f t="shared" si="39"/>
        <v>30</v>
      </c>
      <c r="AD219" s="1066">
        <f>AC219*('Ввод исходных данных'!$D$83-AA219)</f>
        <v>567</v>
      </c>
      <c r="AE219" s="1067">
        <v>-5.9</v>
      </c>
      <c r="AF219" s="1067"/>
      <c r="AG219" s="1067">
        <v>31</v>
      </c>
      <c r="AH219" s="1067">
        <f>AG219*('Ввод исходных данных'!$D$83-AE219)</f>
        <v>740.9</v>
      </c>
      <c r="AI219" s="1068">
        <v>-8.6999999999999993</v>
      </c>
      <c r="AJ219" s="1068"/>
      <c r="AK219" s="1068">
        <v>31</v>
      </c>
      <c r="AL219" s="1068">
        <f>AK219*('Ввод исходных данных'!$D$83-AI219)</f>
        <v>827.69999999999993</v>
      </c>
      <c r="AM219" s="1069">
        <v>-8.6999999999999993</v>
      </c>
      <c r="AN219" s="1069"/>
      <c r="AO219" s="1069">
        <v>28</v>
      </c>
      <c r="AP219" s="1069">
        <f>AO219*('Ввод исходных данных'!$D$83-AM219)</f>
        <v>747.6</v>
      </c>
      <c r="AQ219" s="1064">
        <v>-4.3</v>
      </c>
      <c r="AR219" s="1064"/>
      <c r="AS219" s="1064">
        <f t="shared" si="40"/>
        <v>31</v>
      </c>
      <c r="AT219" s="1064">
        <f>AS219*('Ввод исходных данных'!$D$83-AQ219)</f>
        <v>691.30000000000007</v>
      </c>
      <c r="AU219" s="1070">
        <v>3.3</v>
      </c>
      <c r="AV219" s="1070"/>
      <c r="AW219" s="1070">
        <f t="shared" si="41"/>
        <v>30</v>
      </c>
      <c r="AX219" s="1070">
        <f>AW219*('Ввод исходных данных'!$D$83-AU219)</f>
        <v>441</v>
      </c>
      <c r="AY219" s="1071">
        <v>10.4</v>
      </c>
      <c r="AZ219" s="1071"/>
      <c r="BA219" s="1071">
        <f t="shared" si="42"/>
        <v>4.5</v>
      </c>
      <c r="BB219" s="1071">
        <f>BA219*('Ввод исходных данных'!$D$83-AY219)</f>
        <v>34.199999999999996</v>
      </c>
      <c r="BC219" s="1072">
        <v>15.2</v>
      </c>
      <c r="BD219" s="1072"/>
      <c r="BE219" s="1072">
        <f t="shared" si="34"/>
        <v>0</v>
      </c>
      <c r="BF219" s="1073">
        <f>BE219*('Ввод исходных данных'!$D$83-BC219)</f>
        <v>0</v>
      </c>
    </row>
    <row r="220" spans="1:58" ht="15.75" customHeight="1" x14ac:dyDescent="0.25">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6210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73.8</v>
      </c>
      <c r="W220" s="1065">
        <v>2</v>
      </c>
      <c r="X220" s="1065"/>
      <c r="Y220" s="1065">
        <f t="shared" si="38"/>
        <v>31</v>
      </c>
      <c r="Z220" s="1065">
        <f>Y220*('Ввод исходных данных'!$D$83-W220)</f>
        <v>496</v>
      </c>
      <c r="AA220" s="1066">
        <v>-8.3000000000000007</v>
      </c>
      <c r="AB220" s="1066"/>
      <c r="AC220" s="1066">
        <f t="shared" si="39"/>
        <v>30</v>
      </c>
      <c r="AD220" s="1066">
        <f>AC220*('Ввод исходных данных'!$D$83-AA220)</f>
        <v>789</v>
      </c>
      <c r="AE220" s="1067">
        <v>-15.3</v>
      </c>
      <c r="AF220" s="1067"/>
      <c r="AG220" s="1067">
        <v>31</v>
      </c>
      <c r="AH220" s="1067">
        <f>AG220*('Ввод исходных данных'!$D$83-AE220)</f>
        <v>1032.3</v>
      </c>
      <c r="AI220" s="1068">
        <v>-18.3</v>
      </c>
      <c r="AJ220" s="1068"/>
      <c r="AK220" s="1068">
        <v>31</v>
      </c>
      <c r="AL220" s="1068">
        <f>AK220*('Ввод исходных данных'!$D$83-AI220)</f>
        <v>1125.3</v>
      </c>
      <c r="AM220" s="1069">
        <v>-17</v>
      </c>
      <c r="AN220" s="1069"/>
      <c r="AO220" s="1069">
        <v>28</v>
      </c>
      <c r="AP220" s="1069">
        <f>AO220*('Ввод исходных данных'!$D$83-AM220)</f>
        <v>980</v>
      </c>
      <c r="AQ220" s="1064">
        <v>-9.1999999999999993</v>
      </c>
      <c r="AR220" s="1064"/>
      <c r="AS220" s="1064">
        <f t="shared" si="40"/>
        <v>31</v>
      </c>
      <c r="AT220" s="1064">
        <f>AS220*('Ввод исходных данных'!$D$83-AQ220)</f>
        <v>843.19999999999993</v>
      </c>
      <c r="AU220" s="1070">
        <v>2.1</v>
      </c>
      <c r="AV220" s="1070"/>
      <c r="AW220" s="1070">
        <f t="shared" si="41"/>
        <v>30</v>
      </c>
      <c r="AX220" s="1070">
        <f>AW220*('Ввод исходных данных'!$D$83-AU220)</f>
        <v>477</v>
      </c>
      <c r="AY220" s="1071">
        <v>11</v>
      </c>
      <c r="AZ220" s="1071"/>
      <c r="BA220" s="1071">
        <f t="shared" si="42"/>
        <v>9</v>
      </c>
      <c r="BB220" s="1071">
        <f>BA220*('Ввод исходных данных'!$D$83-AY220)</f>
        <v>63</v>
      </c>
      <c r="BC220" s="1072">
        <v>17</v>
      </c>
      <c r="BD220" s="1072"/>
      <c r="BE220" s="1072">
        <f t="shared" si="34"/>
        <v>0</v>
      </c>
      <c r="BF220" s="1073">
        <f>BE220*('Ввод исходных данных'!$D$83-BC220)</f>
        <v>0</v>
      </c>
    </row>
    <row r="221" spans="1:58" ht="15.75" customHeight="1" x14ac:dyDescent="0.25">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5905.2</v>
      </c>
      <c r="J221" s="1059" t="str">
        <f t="shared" si="33"/>
        <v>5000-6000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69.599999999999994</v>
      </c>
      <c r="W221" s="1065">
        <v>1.7</v>
      </c>
      <c r="X221" s="1065"/>
      <c r="Y221" s="1065">
        <f t="shared" si="38"/>
        <v>31</v>
      </c>
      <c r="Z221" s="1065">
        <f>Y221*('Ввод исходных данных'!$D$83-W221)</f>
        <v>505.3</v>
      </c>
      <c r="AA221" s="1066">
        <v>-8</v>
      </c>
      <c r="AB221" s="1066"/>
      <c r="AC221" s="1066">
        <f t="shared" si="39"/>
        <v>30</v>
      </c>
      <c r="AD221" s="1066">
        <f>AC221*('Ввод исходных данных'!$D$83-AA221)</f>
        <v>780</v>
      </c>
      <c r="AE221" s="1067">
        <v>-15</v>
      </c>
      <c r="AF221" s="1067"/>
      <c r="AG221" s="1067">
        <v>31</v>
      </c>
      <c r="AH221" s="1067">
        <f>AG221*('Ввод исходных данных'!$D$83-AE221)</f>
        <v>1023</v>
      </c>
      <c r="AI221" s="1068">
        <v>-17.600000000000001</v>
      </c>
      <c r="AJ221" s="1068"/>
      <c r="AK221" s="1068">
        <v>31</v>
      </c>
      <c r="AL221" s="1068">
        <f>AK221*('Ввод исходных данных'!$D$83-AI221)</f>
        <v>1103.6000000000001</v>
      </c>
      <c r="AM221" s="1069">
        <v>-15.5</v>
      </c>
      <c r="AN221" s="1069"/>
      <c r="AO221" s="1069">
        <v>28</v>
      </c>
      <c r="AP221" s="1069">
        <f>AO221*('Ввод исходных данных'!$D$83-AM221)</f>
        <v>938</v>
      </c>
      <c r="AQ221" s="1064">
        <v>-7.5</v>
      </c>
      <c r="AR221" s="1064"/>
      <c r="AS221" s="1064">
        <f t="shared" si="40"/>
        <v>31</v>
      </c>
      <c r="AT221" s="1064">
        <f>AS221*('Ввод исходных данных'!$D$83-AQ221)</f>
        <v>790.5</v>
      </c>
      <c r="AU221" s="1070">
        <v>1.7</v>
      </c>
      <c r="AV221" s="1070"/>
      <c r="AW221" s="1070">
        <f t="shared" si="41"/>
        <v>30</v>
      </c>
      <c r="AX221" s="1070">
        <f>AW221*('Ввод исходных данных'!$D$83-AU221)</f>
        <v>489</v>
      </c>
      <c r="AY221" s="1071">
        <v>10.3</v>
      </c>
      <c r="AZ221" s="1071"/>
      <c r="BA221" s="1071">
        <f t="shared" si="42"/>
        <v>8</v>
      </c>
      <c r="BB221" s="1071">
        <f>BA221*('Ввод исходных данных'!$D$83-AY221)</f>
        <v>61.599999999999994</v>
      </c>
      <c r="BC221" s="1072">
        <v>16.3</v>
      </c>
      <c r="BD221" s="1072"/>
      <c r="BE221" s="1072">
        <f t="shared" si="34"/>
        <v>0</v>
      </c>
      <c r="BF221" s="1073">
        <f>BE221*('Ввод исходных данных'!$D$83-BC221)</f>
        <v>0</v>
      </c>
    </row>
    <row r="222" spans="1:58" ht="15.75" customHeight="1" x14ac:dyDescent="0.25">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5864.2</v>
      </c>
      <c r="J222" s="1059" t="str">
        <f t="shared" si="33"/>
        <v>5000-6000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20.400000000000002</v>
      </c>
      <c r="W222" s="1065">
        <v>2.2000000000000002</v>
      </c>
      <c r="X222" s="1065"/>
      <c r="Y222" s="1065">
        <f t="shared" si="38"/>
        <v>31</v>
      </c>
      <c r="Z222" s="1065">
        <f>Y222*('Ввод исходных данных'!$D$83-W222)</f>
        <v>489.8</v>
      </c>
      <c r="AA222" s="1066">
        <v>-8.5</v>
      </c>
      <c r="AB222" s="1066"/>
      <c r="AC222" s="1066">
        <f t="shared" si="39"/>
        <v>30</v>
      </c>
      <c r="AD222" s="1066">
        <f>AC222*('Ввод исходных данных'!$D$83-AA222)</f>
        <v>795</v>
      </c>
      <c r="AE222" s="1067">
        <v>-16.2</v>
      </c>
      <c r="AF222" s="1067"/>
      <c r="AG222" s="1067">
        <v>31</v>
      </c>
      <c r="AH222" s="1067">
        <f>AG222*('Ввод исходных данных'!$D$83-AE222)</f>
        <v>1060.2</v>
      </c>
      <c r="AI222" s="1068">
        <v>-19.399999999999999</v>
      </c>
      <c r="AJ222" s="1068"/>
      <c r="AK222" s="1068">
        <v>31</v>
      </c>
      <c r="AL222" s="1068">
        <f>AK222*('Ввод исходных данных'!$D$83-AI222)</f>
        <v>1159.3999999999999</v>
      </c>
      <c r="AM222" s="1069">
        <v>-18.399999999999999</v>
      </c>
      <c r="AN222" s="1069"/>
      <c r="AO222" s="1069">
        <v>28</v>
      </c>
      <c r="AP222" s="1069">
        <f>AO222*('Ввод исходных данных'!$D$83-AM222)</f>
        <v>1019.1999999999999</v>
      </c>
      <c r="AQ222" s="1064">
        <v>-10.6</v>
      </c>
      <c r="AR222" s="1064"/>
      <c r="AS222" s="1064">
        <f t="shared" si="40"/>
        <v>31</v>
      </c>
      <c r="AT222" s="1064">
        <f>AS222*('Ввод исходных данных'!$D$83-AQ222)</f>
        <v>886.6</v>
      </c>
      <c r="AU222" s="1070">
        <v>2.9</v>
      </c>
      <c r="AV222" s="1070"/>
      <c r="AW222" s="1070">
        <f t="shared" si="41"/>
        <v>30</v>
      </c>
      <c r="AX222" s="1070">
        <f>AW222*('Ввод исходных данных'!$D$83-AU222)</f>
        <v>453</v>
      </c>
      <c r="AY222" s="1071">
        <v>12.1</v>
      </c>
      <c r="AZ222" s="1071"/>
      <c r="BA222" s="1071">
        <f t="shared" si="42"/>
        <v>3</v>
      </c>
      <c r="BB222" s="1071">
        <f>BA222*('Ввод исходных данных'!$D$83-AY222)</f>
        <v>17.700000000000003</v>
      </c>
      <c r="BC222" s="1072">
        <v>18.2</v>
      </c>
      <c r="BD222" s="1072"/>
      <c r="BE222" s="1072">
        <f t="shared" si="34"/>
        <v>0</v>
      </c>
      <c r="BF222" s="1073">
        <f>BE222*('Ввод исходных данных'!$D$83-BC222)</f>
        <v>0</v>
      </c>
    </row>
    <row r="223" spans="1:58" ht="15.75" customHeight="1" x14ac:dyDescent="0.25">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6133.2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66.400000000000006</v>
      </c>
      <c r="W223" s="1065">
        <v>1.4</v>
      </c>
      <c r="X223" s="1065"/>
      <c r="Y223" s="1065">
        <f t="shared" si="38"/>
        <v>31</v>
      </c>
      <c r="Z223" s="1065">
        <f>Y223*('Ввод исходных данных'!$D$83-W223)</f>
        <v>514.6</v>
      </c>
      <c r="AA223" s="1066">
        <v>-9.5</v>
      </c>
      <c r="AB223" s="1066"/>
      <c r="AC223" s="1066">
        <f t="shared" si="39"/>
        <v>30</v>
      </c>
      <c r="AD223" s="1066">
        <f>AC223*('Ввод исходных данных'!$D$83-AA223)</f>
        <v>825</v>
      </c>
      <c r="AE223" s="1067">
        <v>-16.899999999999999</v>
      </c>
      <c r="AF223" s="1067"/>
      <c r="AG223" s="1067">
        <v>31</v>
      </c>
      <c r="AH223" s="1067">
        <f>AG223*('Ввод исходных данных'!$D$83-AE223)</f>
        <v>1081.8999999999999</v>
      </c>
      <c r="AI223" s="1068">
        <v>-19.600000000000001</v>
      </c>
      <c r="AJ223" s="1068"/>
      <c r="AK223" s="1068">
        <v>31</v>
      </c>
      <c r="AL223" s="1068">
        <f>AK223*('Ввод исходных данных'!$D$83-AI223)</f>
        <v>1165.6000000000001</v>
      </c>
      <c r="AM223" s="1069">
        <v>-18.2</v>
      </c>
      <c r="AN223" s="1069"/>
      <c r="AO223" s="1069">
        <v>28</v>
      </c>
      <c r="AP223" s="1069">
        <f>AO223*('Ввод исходных данных'!$D$83-AM223)</f>
        <v>1013.6000000000001</v>
      </c>
      <c r="AQ223" s="1064">
        <v>-11.5</v>
      </c>
      <c r="AR223" s="1064"/>
      <c r="AS223" s="1064">
        <f t="shared" si="40"/>
        <v>31</v>
      </c>
      <c r="AT223" s="1064">
        <f>AS223*('Ввод исходных данных'!$D$83-AQ223)</f>
        <v>914.5</v>
      </c>
      <c r="AU223" s="1070">
        <v>1.2</v>
      </c>
      <c r="AV223" s="1070"/>
      <c r="AW223" s="1070">
        <f t="shared" si="41"/>
        <v>30</v>
      </c>
      <c r="AX223" s="1070">
        <f>AW223*('Ввод исходных данных'!$D$83-AU223)</f>
        <v>504</v>
      </c>
      <c r="AY223" s="1071">
        <v>10.7</v>
      </c>
      <c r="AZ223" s="1071"/>
      <c r="BA223" s="1071">
        <f t="shared" si="42"/>
        <v>8</v>
      </c>
      <c r="BB223" s="1071">
        <f>BA223*('Ввод исходных данных'!$D$83-AY223)</f>
        <v>58.400000000000006</v>
      </c>
      <c r="BC223" s="1072">
        <v>16.7</v>
      </c>
      <c r="BD223" s="1072"/>
      <c r="BE223" s="1072">
        <f t="shared" si="34"/>
        <v>0</v>
      </c>
      <c r="BF223" s="1073">
        <f>BE223*('Ввод исходных данных'!$D$83-BC223)</f>
        <v>0</v>
      </c>
    </row>
    <row r="224" spans="1:58" ht="15.75" customHeight="1" x14ac:dyDescent="0.25">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5783.5</v>
      </c>
      <c r="J224" s="1059" t="str">
        <f t="shared" si="33"/>
        <v>5000-6000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10.950000000000001</v>
      </c>
      <c r="W224" s="1065">
        <v>2.8</v>
      </c>
      <c r="X224" s="1065"/>
      <c r="Y224" s="1065">
        <f t="shared" si="38"/>
        <v>31</v>
      </c>
      <c r="Z224" s="1065">
        <f>Y224*('Ввод исходных данных'!$D$83-W224)</f>
        <v>471.2</v>
      </c>
      <c r="AA224" s="1066">
        <v>-7.4</v>
      </c>
      <c r="AB224" s="1066"/>
      <c r="AC224" s="1066">
        <f t="shared" si="39"/>
        <v>30</v>
      </c>
      <c r="AD224" s="1066">
        <f>AC224*('Ввод исходных данных'!$D$83-AA224)</f>
        <v>762</v>
      </c>
      <c r="AE224" s="1067">
        <v>-15</v>
      </c>
      <c r="AF224" s="1067"/>
      <c r="AG224" s="1067">
        <v>31</v>
      </c>
      <c r="AH224" s="1067">
        <f>AG224*('Ввод исходных данных'!$D$83-AE224)</f>
        <v>1023</v>
      </c>
      <c r="AI224" s="1068">
        <v>-18.5</v>
      </c>
      <c r="AJ224" s="1068"/>
      <c r="AK224" s="1068">
        <v>31</v>
      </c>
      <c r="AL224" s="1068">
        <f>AK224*('Ввод исходных данных'!$D$83-AI224)</f>
        <v>1131.5</v>
      </c>
      <c r="AM224" s="1069">
        <v>-16.899999999999999</v>
      </c>
      <c r="AN224" s="1069"/>
      <c r="AO224" s="1069">
        <v>28</v>
      </c>
      <c r="AP224" s="1069">
        <f>AO224*('Ввод исходных данных'!$D$83-AM224)</f>
        <v>977.19999999999993</v>
      </c>
      <c r="AQ224" s="1064">
        <v>-9.1</v>
      </c>
      <c r="AR224" s="1064"/>
      <c r="AS224" s="1064">
        <f t="shared" si="40"/>
        <v>31</v>
      </c>
      <c r="AT224" s="1064">
        <f>AS224*('Ввод исходных данных'!$D$83-AQ224)</f>
        <v>840.1</v>
      </c>
      <c r="AU224" s="1070">
        <v>3.2</v>
      </c>
      <c r="AV224" s="1070"/>
      <c r="AW224" s="1070">
        <f t="shared" si="41"/>
        <v>30</v>
      </c>
      <c r="AX224" s="1070">
        <f>AW224*('Ввод исходных данных'!$D$83-AU224)</f>
        <v>444</v>
      </c>
      <c r="AY224" s="1071">
        <v>12</v>
      </c>
      <c r="AZ224" s="1071"/>
      <c r="BA224" s="1071">
        <f t="shared" si="42"/>
        <v>1.5</v>
      </c>
      <c r="BB224" s="1071">
        <f>BA224*('Ввод исходных данных'!$D$83-AY224)</f>
        <v>9</v>
      </c>
      <c r="BC224" s="1072">
        <v>17.899999999999999</v>
      </c>
      <c r="BD224" s="1072"/>
      <c r="BE224" s="1072">
        <f t="shared" si="34"/>
        <v>0</v>
      </c>
      <c r="BF224" s="1073">
        <f>BE224*('Ввод исходных данных'!$D$83-BC224)</f>
        <v>0</v>
      </c>
    </row>
    <row r="225" spans="2:58" ht="15.75" customHeight="1" x14ac:dyDescent="0.25">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6213.9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82.649999999999991</v>
      </c>
      <c r="W225" s="1065">
        <v>0.8</v>
      </c>
      <c r="X225" s="1065"/>
      <c r="Y225" s="1065">
        <f t="shared" si="38"/>
        <v>31</v>
      </c>
      <c r="Z225" s="1065">
        <f>Y225*('Ввод исходных данных'!$D$83-W225)</f>
        <v>533.19999999999993</v>
      </c>
      <c r="AA225" s="1066">
        <v>-9.8000000000000007</v>
      </c>
      <c r="AB225" s="1066"/>
      <c r="AC225" s="1066">
        <f t="shared" si="39"/>
        <v>30</v>
      </c>
      <c r="AD225" s="1066">
        <f>AC225*('Ввод исходных данных'!$D$83-AA225)</f>
        <v>834</v>
      </c>
      <c r="AE225" s="1067">
        <v>-17.399999999999999</v>
      </c>
      <c r="AF225" s="1067"/>
      <c r="AG225" s="1067">
        <v>31</v>
      </c>
      <c r="AH225" s="1067">
        <f>AG225*('Ввод исходных данных'!$D$83-AE225)</f>
        <v>1097.3999999999999</v>
      </c>
      <c r="AI225" s="1068">
        <v>-20.3</v>
      </c>
      <c r="AJ225" s="1068"/>
      <c r="AK225" s="1068">
        <v>31</v>
      </c>
      <c r="AL225" s="1068">
        <f>AK225*('Ввод исходных данных'!$D$83-AI225)</f>
        <v>1187.3</v>
      </c>
      <c r="AM225" s="1069">
        <v>-18.3</v>
      </c>
      <c r="AN225" s="1069"/>
      <c r="AO225" s="1069">
        <v>28</v>
      </c>
      <c r="AP225" s="1069">
        <f>AO225*('Ввод исходных данных'!$D$83-AM225)</f>
        <v>1016.3999999999999</v>
      </c>
      <c r="AQ225" s="1064">
        <v>-10.7</v>
      </c>
      <c r="AR225" s="1064"/>
      <c r="AS225" s="1064">
        <f t="shared" si="40"/>
        <v>31</v>
      </c>
      <c r="AT225" s="1064">
        <f>AS225*('Ввод исходных данных'!$D$83-AQ225)</f>
        <v>889.69999999999993</v>
      </c>
      <c r="AU225" s="1070">
        <v>1.3</v>
      </c>
      <c r="AV225" s="1070"/>
      <c r="AW225" s="1070">
        <f t="shared" si="41"/>
        <v>30</v>
      </c>
      <c r="AX225" s="1070">
        <f>AW225*('Ввод исходных данных'!$D$83-AU225)</f>
        <v>501</v>
      </c>
      <c r="AY225" s="1071">
        <v>9.8000000000000007</v>
      </c>
      <c r="AZ225" s="1071"/>
      <c r="BA225" s="1071">
        <f t="shared" si="42"/>
        <v>9.5</v>
      </c>
      <c r="BB225" s="1071">
        <f>BA225*('Ввод исходных данных'!$D$83-AY225)</f>
        <v>77.899999999999991</v>
      </c>
      <c r="BC225" s="1072">
        <v>15.7</v>
      </c>
      <c r="BD225" s="1072"/>
      <c r="BE225" s="1072">
        <f t="shared" si="34"/>
        <v>0</v>
      </c>
      <c r="BF225" s="1073">
        <f>BE225*('Ввод исходных данных'!$D$83-BC225)</f>
        <v>0</v>
      </c>
    </row>
    <row r="226" spans="2:58" ht="15.75" customHeight="1" x14ac:dyDescent="0.25">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5768.1</v>
      </c>
      <c r="J226" s="1059" t="str">
        <f t="shared" si="33"/>
        <v>5000-6000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35.1</v>
      </c>
      <c r="W226" s="1065">
        <v>2.5</v>
      </c>
      <c r="X226" s="1065"/>
      <c r="Y226" s="1065">
        <f t="shared" si="38"/>
        <v>31</v>
      </c>
      <c r="Z226" s="1065">
        <f>Y226*('Ввод исходных данных'!$D$83-W226)</f>
        <v>480.5</v>
      </c>
      <c r="AA226" s="1066">
        <v>-7.4</v>
      </c>
      <c r="AB226" s="1066"/>
      <c r="AC226" s="1066">
        <f t="shared" si="39"/>
        <v>30</v>
      </c>
      <c r="AD226" s="1066">
        <f>AC226*('Ввод исходных данных'!$D$83-AA226)</f>
        <v>762</v>
      </c>
      <c r="AE226" s="1067">
        <v>-14.5</v>
      </c>
      <c r="AF226" s="1067"/>
      <c r="AG226" s="1067">
        <v>31</v>
      </c>
      <c r="AH226" s="1067">
        <f>AG226*('Ввод исходных данных'!$D$83-AE226)</f>
        <v>1007.5</v>
      </c>
      <c r="AI226" s="1068">
        <v>-17.3</v>
      </c>
      <c r="AJ226" s="1068"/>
      <c r="AK226" s="1068">
        <v>31</v>
      </c>
      <c r="AL226" s="1068">
        <f>AK226*('Ввод исходных данных'!$D$83-AI226)</f>
        <v>1094.3</v>
      </c>
      <c r="AM226" s="1069">
        <v>-15.7</v>
      </c>
      <c r="AN226" s="1069"/>
      <c r="AO226" s="1069">
        <v>28</v>
      </c>
      <c r="AP226" s="1069">
        <f>AO226*('Ввод исходных данных'!$D$83-AM226)</f>
        <v>943.60000000000014</v>
      </c>
      <c r="AQ226" s="1064">
        <v>-8.4</v>
      </c>
      <c r="AR226" s="1064"/>
      <c r="AS226" s="1064">
        <f t="shared" si="40"/>
        <v>31</v>
      </c>
      <c r="AT226" s="1064">
        <f>AS226*('Ввод исходных данных'!$D$83-AQ226)</f>
        <v>818.4</v>
      </c>
      <c r="AU226" s="1070">
        <v>2.2000000000000002</v>
      </c>
      <c r="AV226" s="1070"/>
      <c r="AW226" s="1070">
        <f t="shared" si="41"/>
        <v>30</v>
      </c>
      <c r="AX226" s="1070">
        <f>AW226*('Ввод исходных данных'!$D$83-AU226)</f>
        <v>474</v>
      </c>
      <c r="AY226" s="1071">
        <v>11.1</v>
      </c>
      <c r="AZ226" s="1071"/>
      <c r="BA226" s="1071">
        <f t="shared" si="42"/>
        <v>4.5</v>
      </c>
      <c r="BB226" s="1071">
        <f>BA226*('Ввод исходных данных'!$D$83-AY226)</f>
        <v>31.05</v>
      </c>
      <c r="BC226" s="1072">
        <v>17</v>
      </c>
      <c r="BD226" s="1072"/>
      <c r="BE226" s="1072">
        <f t="shared" si="34"/>
        <v>0</v>
      </c>
      <c r="BF226" s="1073">
        <f>BE226*('Ввод исходных данных'!$D$83-BC226)</f>
        <v>0</v>
      </c>
    </row>
    <row r="227" spans="2:58" ht="15.75" customHeight="1" x14ac:dyDescent="0.25">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5786</v>
      </c>
      <c r="J227" s="1059" t="str">
        <f t="shared" si="33"/>
        <v>5000-6000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31.6</v>
      </c>
      <c r="W227" s="1065">
        <v>2.4</v>
      </c>
      <c r="X227" s="1065"/>
      <c r="Y227" s="1065">
        <f t="shared" si="38"/>
        <v>31</v>
      </c>
      <c r="Z227" s="1065">
        <f>Y227*('Ввод исходных данных'!$D$83-W227)</f>
        <v>483.59999999999997</v>
      </c>
      <c r="AA227" s="1066">
        <v>-7.7</v>
      </c>
      <c r="AB227" s="1066"/>
      <c r="AC227" s="1066">
        <f t="shared" si="39"/>
        <v>30</v>
      </c>
      <c r="AD227" s="1066">
        <f>AC227*('Ввод исходных данных'!$D$83-AA227)</f>
        <v>771</v>
      </c>
      <c r="AE227" s="1067">
        <v>-14.9</v>
      </c>
      <c r="AF227" s="1067"/>
      <c r="AG227" s="1067">
        <v>31</v>
      </c>
      <c r="AH227" s="1067">
        <f>AG227*('Ввод исходных данных'!$D$83-AE227)</f>
        <v>1019.9</v>
      </c>
      <c r="AI227" s="1068">
        <v>-17.8</v>
      </c>
      <c r="AJ227" s="1068"/>
      <c r="AK227" s="1068">
        <v>31</v>
      </c>
      <c r="AL227" s="1068">
        <f>AK227*('Ввод исходных данных'!$D$83-AI227)</f>
        <v>1109.8</v>
      </c>
      <c r="AM227" s="1069">
        <v>-16.5</v>
      </c>
      <c r="AN227" s="1069"/>
      <c r="AO227" s="1069">
        <v>28</v>
      </c>
      <c r="AP227" s="1069">
        <f>AO227*('Ввод исходных данных'!$D$83-AM227)</f>
        <v>966</v>
      </c>
      <c r="AQ227" s="1064">
        <v>-8.3000000000000007</v>
      </c>
      <c r="AR227" s="1064"/>
      <c r="AS227" s="1064">
        <f t="shared" si="40"/>
        <v>31</v>
      </c>
      <c r="AT227" s="1064">
        <f>AS227*('Ввод исходных данных'!$D$83-AQ227)</f>
        <v>815.30000000000007</v>
      </c>
      <c r="AU227" s="1070">
        <v>3.1</v>
      </c>
      <c r="AV227" s="1070"/>
      <c r="AW227" s="1070">
        <f t="shared" si="41"/>
        <v>30</v>
      </c>
      <c r="AX227" s="1070">
        <f>AW227*('Ввод исходных данных'!$D$83-AU227)</f>
        <v>447</v>
      </c>
      <c r="AY227" s="1071">
        <v>11.6</v>
      </c>
      <c r="AZ227" s="1071"/>
      <c r="BA227" s="1071">
        <f t="shared" si="42"/>
        <v>4</v>
      </c>
      <c r="BB227" s="1071">
        <f>BA227*('Ввод исходных данных'!$D$83-AY227)</f>
        <v>25.6</v>
      </c>
      <c r="BC227" s="1072">
        <v>17.3</v>
      </c>
      <c r="BD227" s="1072"/>
      <c r="BE227" s="1072">
        <f t="shared" si="34"/>
        <v>0</v>
      </c>
      <c r="BF227" s="1073">
        <f>BE227*('Ввод исходных данных'!$D$83-BC227)</f>
        <v>0</v>
      </c>
    </row>
    <row r="228" spans="2:58" ht="15.75" customHeight="1" x14ac:dyDescent="0.25">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6164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74.7</v>
      </c>
      <c r="W228" s="1065">
        <v>1.3</v>
      </c>
      <c r="X228" s="1065"/>
      <c r="Y228" s="1065">
        <f t="shared" si="38"/>
        <v>31</v>
      </c>
      <c r="Z228" s="1065">
        <f>Y228*('Ввод исходных данных'!$D$83-W228)</f>
        <v>517.69999999999993</v>
      </c>
      <c r="AA228" s="1066">
        <v>-9.3000000000000007</v>
      </c>
      <c r="AB228" s="1066"/>
      <c r="AC228" s="1066">
        <f t="shared" si="39"/>
        <v>30</v>
      </c>
      <c r="AD228" s="1066">
        <f>AC228*('Ввод исходных данных'!$D$83-AA228)</f>
        <v>819</v>
      </c>
      <c r="AE228" s="1067">
        <v>-17</v>
      </c>
      <c r="AF228" s="1067"/>
      <c r="AG228" s="1067">
        <v>31</v>
      </c>
      <c r="AH228" s="1067">
        <f>AG228*('Ввод исходных данных'!$D$83-AE228)</f>
        <v>1085</v>
      </c>
      <c r="AI228" s="1068">
        <v>-19.5</v>
      </c>
      <c r="AJ228" s="1068"/>
      <c r="AK228" s="1068">
        <v>31</v>
      </c>
      <c r="AL228" s="1068">
        <f>AK228*('Ввод исходных данных'!$D$83-AI228)</f>
        <v>1162.5</v>
      </c>
      <c r="AM228" s="1069">
        <v>-17.899999999999999</v>
      </c>
      <c r="AN228" s="1069"/>
      <c r="AO228" s="1069">
        <v>28</v>
      </c>
      <c r="AP228" s="1069">
        <f>AO228*('Ввод исходных данных'!$D$83-AM228)</f>
        <v>1005.1999999999999</v>
      </c>
      <c r="AQ228" s="1064">
        <v>-11.3</v>
      </c>
      <c r="AR228" s="1064"/>
      <c r="AS228" s="1064">
        <f t="shared" si="40"/>
        <v>31</v>
      </c>
      <c r="AT228" s="1064">
        <f>AS228*('Ввод исходных данных'!$D$83-AQ228)</f>
        <v>908.30000000000007</v>
      </c>
      <c r="AU228" s="1070">
        <v>0.3</v>
      </c>
      <c r="AV228" s="1070"/>
      <c r="AW228" s="1070">
        <f t="shared" si="41"/>
        <v>30</v>
      </c>
      <c r="AX228" s="1070">
        <f>AW228*('Ввод исходных данных'!$D$83-AU228)</f>
        <v>531</v>
      </c>
      <c r="AY228" s="1071">
        <v>10.1</v>
      </c>
      <c r="AZ228" s="1071"/>
      <c r="BA228" s="1071">
        <f t="shared" si="42"/>
        <v>9</v>
      </c>
      <c r="BB228" s="1071">
        <f>BA228*('Ввод исходных данных'!$D$83-AY228)</f>
        <v>71.100000000000009</v>
      </c>
      <c r="BC228" s="1072">
        <v>16.399999999999999</v>
      </c>
      <c r="BD228" s="1072"/>
      <c r="BE228" s="1072">
        <f t="shared" si="34"/>
        <v>0</v>
      </c>
      <c r="BF228" s="1073">
        <f>BE228*('Ввод исходных данных'!$D$83-BC228)</f>
        <v>0</v>
      </c>
    </row>
    <row r="229" spans="2:58" ht="15.75" customHeight="1" x14ac:dyDescent="0.25">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5985</v>
      </c>
      <c r="J229" s="1059" t="str">
        <f t="shared" si="33"/>
        <v>5000-6000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117</v>
      </c>
      <c r="W229" s="1065"/>
      <c r="X229" s="1065"/>
      <c r="Y229" s="1065">
        <f t="shared" si="38"/>
        <v>31</v>
      </c>
      <c r="Z229" s="1065">
        <f>Y229*('Ввод исходных данных'!$D$83-W229)</f>
        <v>558</v>
      </c>
      <c r="AA229" s="1066"/>
      <c r="AB229" s="1066"/>
      <c r="AC229" s="1066">
        <f t="shared" si="39"/>
        <v>30</v>
      </c>
      <c r="AD229" s="1066">
        <f>AC229*('Ввод исходных данных'!$D$83-AA229)</f>
        <v>540</v>
      </c>
      <c r="AE229" s="1067"/>
      <c r="AF229" s="1067"/>
      <c r="AG229" s="1067">
        <v>31</v>
      </c>
      <c r="AH229" s="1067">
        <f>AG229*('Ввод исходных данных'!$D$83-AE229)</f>
        <v>558</v>
      </c>
      <c r="AI229" s="1068"/>
      <c r="AJ229" s="1068"/>
      <c r="AK229" s="1068">
        <v>31</v>
      </c>
      <c r="AL229" s="1068">
        <f>AK229*('Ввод исходных данных'!$D$83-AI229)</f>
        <v>558</v>
      </c>
      <c r="AM229" s="1069"/>
      <c r="AN229" s="1069"/>
      <c r="AO229" s="1069">
        <v>28</v>
      </c>
      <c r="AP229" s="1069">
        <f>AO229*('Ввод исходных данных'!$D$83-AM229)</f>
        <v>504</v>
      </c>
      <c r="AQ229" s="1064"/>
      <c r="AR229" s="1064"/>
      <c r="AS229" s="1064">
        <f t="shared" si="40"/>
        <v>31</v>
      </c>
      <c r="AT229" s="1064">
        <f>AS229*('Ввод исходных данных'!$D$83-AQ229)</f>
        <v>558</v>
      </c>
      <c r="AU229" s="1070"/>
      <c r="AV229" s="1070"/>
      <c r="AW229" s="1070">
        <f t="shared" si="41"/>
        <v>30</v>
      </c>
      <c r="AX229" s="1070">
        <f>AW229*('Ввод исходных данных'!$D$83-AU229)</f>
        <v>540</v>
      </c>
      <c r="AY229" s="1071"/>
      <c r="AZ229" s="1071"/>
      <c r="BA229" s="1071">
        <f t="shared" si="42"/>
        <v>6.5</v>
      </c>
      <c r="BB229" s="1071">
        <f>BA229*('Ввод исходных данных'!$D$83-AY229)</f>
        <v>117</v>
      </c>
      <c r="BC229" s="1072"/>
      <c r="BD229" s="1072"/>
      <c r="BE229" s="1072">
        <f t="shared" si="34"/>
        <v>0</v>
      </c>
      <c r="BF229" s="1073">
        <f>BE229*('Ввод исходных данных'!$D$83-BC229)</f>
        <v>0</v>
      </c>
    </row>
    <row r="230" spans="2:58" ht="15.75" customHeight="1" x14ac:dyDescent="0.25">
      <c r="B230" s="1076" t="s">
        <v>238</v>
      </c>
      <c r="C230" s="1076" t="s">
        <v>240</v>
      </c>
      <c r="D230" s="1053" t="str">
        <f t="shared" si="43"/>
        <v>Омская областьОмск</v>
      </c>
      <c r="E230" s="1054">
        <v>216</v>
      </c>
      <c r="F230" s="1055">
        <v>-8.1</v>
      </c>
      <c r="G230" s="1055">
        <v>-37</v>
      </c>
      <c r="H230" s="1057">
        <v>2.8</v>
      </c>
      <c r="I230" s="1058">
        <f>E230*('Ввод исходных данных'!$D$83-F230)</f>
        <v>5637.6</v>
      </c>
      <c r="J230" s="1059" t="str">
        <f t="shared" si="33"/>
        <v>5000-6000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15</v>
      </c>
      <c r="W230" s="1065">
        <v>2.8</v>
      </c>
      <c r="X230" s="1065"/>
      <c r="Y230" s="1065">
        <f t="shared" si="38"/>
        <v>31</v>
      </c>
      <c r="Z230" s="1065">
        <f>Y230*('Ввод исходных данных'!$D$83-W230)</f>
        <v>471.2</v>
      </c>
      <c r="AA230" s="1066">
        <v>-7.3</v>
      </c>
      <c r="AB230" s="1066"/>
      <c r="AC230" s="1066">
        <f t="shared" si="39"/>
        <v>30</v>
      </c>
      <c r="AD230" s="1066">
        <f>AC230*('Ввод исходных данных'!$D$83-AA230)</f>
        <v>759</v>
      </c>
      <c r="AE230" s="1067">
        <v>-14.3</v>
      </c>
      <c r="AF230" s="1067"/>
      <c r="AG230" s="1067">
        <v>31</v>
      </c>
      <c r="AH230" s="1067">
        <f>AG230*('Ввод исходных данных'!$D$83-AE230)</f>
        <v>1001.3</v>
      </c>
      <c r="AI230" s="1068">
        <v>-17.2</v>
      </c>
      <c r="AJ230" s="1068"/>
      <c r="AK230" s="1068">
        <v>31</v>
      </c>
      <c r="AL230" s="1068">
        <f>AK230*('Ввод исходных данных'!$D$83-AI230)</f>
        <v>1091.2</v>
      </c>
      <c r="AM230" s="1069">
        <v>-15.9</v>
      </c>
      <c r="AN230" s="1069"/>
      <c r="AO230" s="1069">
        <v>28</v>
      </c>
      <c r="AP230" s="1069">
        <f>AO230*('Ввод исходных данных'!$D$83-AM230)</f>
        <v>949.19999999999993</v>
      </c>
      <c r="AQ230" s="1064">
        <v>-7.8</v>
      </c>
      <c r="AR230" s="1064"/>
      <c r="AS230" s="1064">
        <f t="shared" si="40"/>
        <v>31</v>
      </c>
      <c r="AT230" s="1064">
        <f>AS230*('Ввод исходных данных'!$D$83-AQ230)</f>
        <v>799.80000000000007</v>
      </c>
      <c r="AU230" s="1070">
        <v>3.7</v>
      </c>
      <c r="AV230" s="1070"/>
      <c r="AW230" s="1070">
        <f t="shared" si="41"/>
        <v>30</v>
      </c>
      <c r="AX230" s="1070">
        <f>AW230*('Ввод исходных данных'!$D$83-AU230)</f>
        <v>429</v>
      </c>
      <c r="AY230" s="1071">
        <v>12.1</v>
      </c>
      <c r="AZ230" s="1071"/>
      <c r="BA230" s="1071">
        <f t="shared" si="42"/>
        <v>2</v>
      </c>
      <c r="BB230" s="1071">
        <f>BA230*('Ввод исходных данных'!$D$83-AY230)</f>
        <v>11.8</v>
      </c>
      <c r="BC230" s="1072">
        <v>17.7</v>
      </c>
      <c r="BD230" s="1072"/>
      <c r="BE230" s="1072">
        <f t="shared" si="34"/>
        <v>0</v>
      </c>
      <c r="BF230" s="1073">
        <f>BE230*('Ввод исходных данных'!$D$83-BC230)</f>
        <v>0</v>
      </c>
    </row>
    <row r="231" spans="2:58" ht="15.75" customHeight="1" x14ac:dyDescent="0.25">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5999.8</v>
      </c>
      <c r="J231" s="1059" t="str">
        <f t="shared" si="33"/>
        <v>5000-6000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74.800000000000011</v>
      </c>
      <c r="W231" s="1065">
        <v>1.7</v>
      </c>
      <c r="X231" s="1065"/>
      <c r="Y231" s="1065">
        <f t="shared" si="38"/>
        <v>31</v>
      </c>
      <c r="Z231" s="1065">
        <f>Y231*('Ввод исходных данных'!$D$83-W231)</f>
        <v>505.3</v>
      </c>
      <c r="AA231" s="1066">
        <v>-8.3000000000000007</v>
      </c>
      <c r="AB231" s="1066"/>
      <c r="AC231" s="1066">
        <f t="shared" si="39"/>
        <v>30</v>
      </c>
      <c r="AD231" s="1066">
        <f>AC231*('Ввод исходных данных'!$D$83-AA231)</f>
        <v>789</v>
      </c>
      <c r="AE231" s="1067">
        <v>-15.5</v>
      </c>
      <c r="AF231" s="1067"/>
      <c r="AG231" s="1067">
        <v>31</v>
      </c>
      <c r="AH231" s="1067">
        <f>AG231*('Ввод исходных данных'!$D$83-AE231)</f>
        <v>1038.5</v>
      </c>
      <c r="AI231" s="1068">
        <v>-18.3</v>
      </c>
      <c r="AJ231" s="1068"/>
      <c r="AK231" s="1068">
        <v>31</v>
      </c>
      <c r="AL231" s="1068">
        <f>AK231*('Ввод исходных данных'!$D$83-AI231)</f>
        <v>1125.3</v>
      </c>
      <c r="AM231" s="1069">
        <v>-16.8</v>
      </c>
      <c r="AN231" s="1069"/>
      <c r="AO231" s="1069">
        <v>28</v>
      </c>
      <c r="AP231" s="1069">
        <f>AO231*('Ввод исходных данных'!$D$83-AM231)</f>
        <v>974.39999999999986</v>
      </c>
      <c r="AQ231" s="1064">
        <v>-8</v>
      </c>
      <c r="AR231" s="1064"/>
      <c r="AS231" s="1064">
        <f t="shared" si="40"/>
        <v>31</v>
      </c>
      <c r="AT231" s="1064">
        <f>AS231*('Ввод исходных данных'!$D$83-AQ231)</f>
        <v>806</v>
      </c>
      <c r="AU231" s="1070">
        <v>2.2000000000000002</v>
      </c>
      <c r="AV231" s="1070"/>
      <c r="AW231" s="1070">
        <f t="shared" si="41"/>
        <v>30</v>
      </c>
      <c r="AX231" s="1070">
        <f>AW231*('Ввод исходных данных'!$D$83-AU231)</f>
        <v>474</v>
      </c>
      <c r="AY231" s="1071">
        <v>10.4</v>
      </c>
      <c r="AZ231" s="1071"/>
      <c r="BA231" s="1071">
        <f t="shared" si="42"/>
        <v>8.5</v>
      </c>
      <c r="BB231" s="1071">
        <f>BA231*('Ввод исходных данных'!$D$83-AY231)</f>
        <v>64.599999999999994</v>
      </c>
      <c r="BC231" s="1072">
        <v>16.399999999999999</v>
      </c>
      <c r="BD231" s="1072"/>
      <c r="BE231" s="1072">
        <f t="shared" si="34"/>
        <v>0</v>
      </c>
      <c r="BF231" s="1073">
        <f>BE231*('Ввод исходных данных'!$D$83-BC231)</f>
        <v>0</v>
      </c>
    </row>
    <row r="232" spans="2:58" ht="15.75" customHeight="1" x14ac:dyDescent="0.25">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5633.7</v>
      </c>
      <c r="J232" s="1059" t="str">
        <f t="shared" si="33"/>
        <v>5000-6000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447</v>
      </c>
      <c r="AA232" s="1066">
        <v>-7.2</v>
      </c>
      <c r="AB232" s="1066"/>
      <c r="AC232" s="1066">
        <f t="shared" si="39"/>
        <v>30</v>
      </c>
      <c r="AD232" s="1066">
        <f>AC232*('Ввод исходных данных'!$D$83-AA232)</f>
        <v>756</v>
      </c>
      <c r="AE232" s="1067">
        <v>-14.3</v>
      </c>
      <c r="AF232" s="1067"/>
      <c r="AG232" s="1067">
        <v>31</v>
      </c>
      <c r="AH232" s="1067">
        <f>AG232*('Ввод исходных данных'!$D$83-AE232)</f>
        <v>1001.3</v>
      </c>
      <c r="AI232" s="1068">
        <v>-17.7</v>
      </c>
      <c r="AJ232" s="1068"/>
      <c r="AK232" s="1068">
        <v>31</v>
      </c>
      <c r="AL232" s="1068">
        <f>AK232*('Ввод исходных данных'!$D$83-AI232)</f>
        <v>1106.7</v>
      </c>
      <c r="AM232" s="1069">
        <v>-16.600000000000001</v>
      </c>
      <c r="AN232" s="1069"/>
      <c r="AO232" s="1069">
        <v>28</v>
      </c>
      <c r="AP232" s="1069">
        <f>AO232*('Ввод исходных данных'!$D$83-AM232)</f>
        <v>968.80000000000007</v>
      </c>
      <c r="AQ232" s="1064">
        <v>-8.6</v>
      </c>
      <c r="AR232" s="1064"/>
      <c r="AS232" s="1064">
        <f t="shared" si="40"/>
        <v>31</v>
      </c>
      <c r="AT232" s="1064">
        <f>AS232*('Ввод исходных данных'!$D$83-AQ232)</f>
        <v>824.6</v>
      </c>
      <c r="AU232" s="1070">
        <v>4</v>
      </c>
      <c r="AV232" s="1070"/>
      <c r="AW232" s="1070">
        <f t="shared" si="41"/>
        <v>30</v>
      </c>
      <c r="AX232" s="1070">
        <f>AW232*('Ввод исходных данных'!$D$83-AU232)</f>
        <v>420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25">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5079.5999999999995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373.65</v>
      </c>
      <c r="AA233" s="1066">
        <v>-4.7</v>
      </c>
      <c r="AB233" s="1066"/>
      <c r="AC233" s="1066">
        <f t="shared" si="39"/>
        <v>30</v>
      </c>
      <c r="AD233" s="1066">
        <f>AC233*('Ввод исходных данных'!$D$83-AA233)</f>
        <v>681</v>
      </c>
      <c r="AE233" s="1067">
        <v>-11.9</v>
      </c>
      <c r="AF233" s="1067"/>
      <c r="AG233" s="1067">
        <v>31</v>
      </c>
      <c r="AH233" s="1067">
        <f>AG233*('Ввод исходных данных'!$D$83-AE233)</f>
        <v>926.9</v>
      </c>
      <c r="AI233" s="1068">
        <v>-15.4</v>
      </c>
      <c r="AJ233" s="1068"/>
      <c r="AK233" s="1068">
        <v>31</v>
      </c>
      <c r="AL233" s="1068">
        <f>AK233*('Ввод исходных данных'!$D$83-AI233)</f>
        <v>1035.3999999999999</v>
      </c>
      <c r="AM233" s="1069">
        <v>-14.5</v>
      </c>
      <c r="AN233" s="1069"/>
      <c r="AO233" s="1069">
        <v>28</v>
      </c>
      <c r="AP233" s="1069">
        <f>AO233*('Ввод исходных данных'!$D$83-AM233)</f>
        <v>910</v>
      </c>
      <c r="AQ233" s="1064">
        <v>-7.3</v>
      </c>
      <c r="AR233" s="1064"/>
      <c r="AS233" s="1064">
        <f t="shared" si="40"/>
        <v>31</v>
      </c>
      <c r="AT233" s="1064">
        <f>AS233*('Ввод исходных данных'!$D$83-AQ233)</f>
        <v>784.30000000000007</v>
      </c>
      <c r="AU233" s="1070">
        <v>4.9000000000000004</v>
      </c>
      <c r="AV233" s="1070"/>
      <c r="AW233" s="1070">
        <f t="shared" si="41"/>
        <v>26.5</v>
      </c>
      <c r="AX233" s="1070">
        <f>AW233*('Ввод исходных данных'!$D$83-AU233)</f>
        <v>347.15</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25">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4699.5</v>
      </c>
      <c r="J234" s="1059" t="str">
        <f t="shared" si="33"/>
        <v>4000-5000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279.39999999999998</v>
      </c>
      <c r="AA234" s="1066">
        <v>-3.1</v>
      </c>
      <c r="AB234" s="1066"/>
      <c r="AC234" s="1066">
        <f t="shared" si="39"/>
        <v>30</v>
      </c>
      <c r="AD234" s="1066">
        <f>AC234*('Ввод исходных данных'!$D$83-AA234)</f>
        <v>633</v>
      </c>
      <c r="AE234" s="1067">
        <v>-9.9</v>
      </c>
      <c r="AF234" s="1067"/>
      <c r="AG234" s="1067">
        <v>31</v>
      </c>
      <c r="AH234" s="1067">
        <f>AG234*('Ввод исходных данных'!$D$83-AE234)</f>
        <v>864.9</v>
      </c>
      <c r="AI234" s="1068">
        <v>-12.9</v>
      </c>
      <c r="AJ234" s="1068"/>
      <c r="AK234" s="1068">
        <v>31</v>
      </c>
      <c r="AL234" s="1068">
        <f>AK234*('Ввод исходных данных'!$D$83-AI234)</f>
        <v>957.9</v>
      </c>
      <c r="AM234" s="1069">
        <v>-12.4</v>
      </c>
      <c r="AN234" s="1069"/>
      <c r="AO234" s="1069">
        <v>28</v>
      </c>
      <c r="AP234" s="1069">
        <f>AO234*('Ввод исходных данных'!$D$83-AM234)</f>
        <v>851.19999999999993</v>
      </c>
      <c r="AQ234" s="1064">
        <v>-5.4</v>
      </c>
      <c r="AR234" s="1064"/>
      <c r="AS234" s="1064">
        <f t="shared" si="40"/>
        <v>31</v>
      </c>
      <c r="AT234" s="1064">
        <f>AS234*('Ввод исходных данных'!$D$83-AQ234)</f>
        <v>725.4</v>
      </c>
      <c r="AU234" s="1070">
        <v>7.1</v>
      </c>
      <c r="AV234" s="1070"/>
      <c r="AW234" s="1070">
        <f t="shared" si="41"/>
        <v>22</v>
      </c>
      <c r="AX234" s="1070">
        <f>AW234*('Ввод исходных данных'!$D$83-AU234)</f>
        <v>239.8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25">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4884.3</v>
      </c>
      <c r="J235" s="1059" t="str">
        <f t="shared" si="33"/>
        <v>4000-5000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347.5</v>
      </c>
      <c r="AA235" s="1066">
        <v>-3.8</v>
      </c>
      <c r="AB235" s="1066"/>
      <c r="AC235" s="1066">
        <f t="shared" si="39"/>
        <v>30</v>
      </c>
      <c r="AD235" s="1066">
        <f>AC235*('Ввод исходных данных'!$D$83-AA235)</f>
        <v>654</v>
      </c>
      <c r="AE235" s="1067">
        <v>-10.4</v>
      </c>
      <c r="AF235" s="1067"/>
      <c r="AG235" s="1067">
        <v>31</v>
      </c>
      <c r="AH235" s="1067">
        <f>AG235*('Ввод исходных данных'!$D$83-AE235)</f>
        <v>880.4</v>
      </c>
      <c r="AI235" s="1068">
        <v>-14.4</v>
      </c>
      <c r="AJ235" s="1068"/>
      <c r="AK235" s="1068">
        <v>31</v>
      </c>
      <c r="AL235" s="1068">
        <f>AK235*('Ввод исходных данных'!$D$83-AI235)</f>
        <v>1004.4</v>
      </c>
      <c r="AM235" s="1069">
        <v>-13.5</v>
      </c>
      <c r="AN235" s="1069"/>
      <c r="AO235" s="1069">
        <v>28</v>
      </c>
      <c r="AP235" s="1069">
        <f>AO235*('Ввод исходных данных'!$D$83-AM235)</f>
        <v>882</v>
      </c>
      <c r="AQ235" s="1064">
        <v>-6.6</v>
      </c>
      <c r="AR235" s="1064"/>
      <c r="AS235" s="1064">
        <f t="shared" si="40"/>
        <v>31</v>
      </c>
      <c r="AT235" s="1064">
        <f>AS235*('Ввод исходных данных'!$D$83-AQ235)</f>
        <v>762.6</v>
      </c>
      <c r="AU235" s="1070">
        <v>5.8</v>
      </c>
      <c r="AV235" s="1070"/>
      <c r="AW235" s="1070">
        <f t="shared" si="41"/>
        <v>25</v>
      </c>
      <c r="AX235" s="1070">
        <f>AW235*('Ввод исходных данных'!$D$83-AU235)</f>
        <v>305</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25">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4059.6</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295.20000000000005</v>
      </c>
      <c r="AA236" s="1066">
        <v>-0.6</v>
      </c>
      <c r="AB236" s="1066"/>
      <c r="AC236" s="1066">
        <f t="shared" si="39"/>
        <v>30</v>
      </c>
      <c r="AD236" s="1066">
        <f>AC236*('Ввод исходных данных'!$D$83-AA236)</f>
        <v>558</v>
      </c>
      <c r="AE236" s="1067">
        <v>-5.4</v>
      </c>
      <c r="AF236" s="1067"/>
      <c r="AG236" s="1067">
        <v>31</v>
      </c>
      <c r="AH236" s="1067">
        <f>AG236*('Ввод исходных данных'!$D$83-AE236)</f>
        <v>725.4</v>
      </c>
      <c r="AI236" s="1068">
        <v>-7.8</v>
      </c>
      <c r="AJ236" s="1068"/>
      <c r="AK236" s="1068">
        <v>31</v>
      </c>
      <c r="AL236" s="1068">
        <f>AK236*('Ввод исходных данных'!$D$83-AI236)</f>
        <v>799.80000000000007</v>
      </c>
      <c r="AM236" s="1069">
        <v>-7.3</v>
      </c>
      <c r="AN236" s="1069"/>
      <c r="AO236" s="1069">
        <v>28</v>
      </c>
      <c r="AP236" s="1069">
        <f>AO236*('Ввод исходных данных'!$D$83-AM236)</f>
        <v>708.4</v>
      </c>
      <c r="AQ236" s="1064">
        <v>-1.9</v>
      </c>
      <c r="AR236" s="1064"/>
      <c r="AS236" s="1064">
        <f t="shared" si="40"/>
        <v>31</v>
      </c>
      <c r="AT236" s="1064">
        <f>AS236*('Ввод исходных данных'!$D$83-AQ236)</f>
        <v>616.9</v>
      </c>
      <c r="AU236" s="1070">
        <v>6.9</v>
      </c>
      <c r="AV236" s="1070"/>
      <c r="AW236" s="1070">
        <f t="shared" si="41"/>
        <v>24</v>
      </c>
      <c r="AX236" s="1070">
        <f>AW236*('Ввод исходных данных'!$D$83-AU236)</f>
        <v>266.39999999999998</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25">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4360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316.05</v>
      </c>
      <c r="AA237" s="1066">
        <v>-1.7</v>
      </c>
      <c r="AB237" s="1066"/>
      <c r="AC237" s="1066">
        <f t="shared" si="39"/>
        <v>30</v>
      </c>
      <c r="AD237" s="1066">
        <f>AC237*('Ввод исходных данных'!$D$83-AA237)</f>
        <v>591</v>
      </c>
      <c r="AE237" s="1067">
        <v>-7.2</v>
      </c>
      <c r="AF237" s="1067"/>
      <c r="AG237" s="1067">
        <v>31</v>
      </c>
      <c r="AH237" s="1067">
        <f>AG237*('Ввод исходных данных'!$D$83-AE237)</f>
        <v>781.19999999999993</v>
      </c>
      <c r="AI237" s="1068">
        <v>-9.3000000000000007</v>
      </c>
      <c r="AJ237" s="1068"/>
      <c r="AK237" s="1068">
        <v>31</v>
      </c>
      <c r="AL237" s="1068">
        <f>AK237*('Ввод исходных данных'!$D$83-AI237)</f>
        <v>846.30000000000007</v>
      </c>
      <c r="AM237" s="1069">
        <v>-9.5</v>
      </c>
      <c r="AN237" s="1069"/>
      <c r="AO237" s="1069">
        <v>28</v>
      </c>
      <c r="AP237" s="1069">
        <f>AO237*('Ввод исходных данных'!$D$83-AM237)</f>
        <v>770</v>
      </c>
      <c r="AQ237" s="1064">
        <v>-3.6</v>
      </c>
      <c r="AR237" s="1064"/>
      <c r="AS237" s="1064">
        <f t="shared" si="40"/>
        <v>31</v>
      </c>
      <c r="AT237" s="1064">
        <f>AS237*('Ввод исходных данных'!$D$83-AQ237)</f>
        <v>669.6</v>
      </c>
      <c r="AU237" s="1070">
        <v>6.6</v>
      </c>
      <c r="AV237" s="1070"/>
      <c r="AW237" s="1070">
        <f t="shared" si="41"/>
        <v>24.5</v>
      </c>
      <c r="AX237" s="1070">
        <f>AW237*('Ввод исходных данных'!$D$83-AU237)</f>
        <v>279.3</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25">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4420</v>
      </c>
      <c r="J238" s="1059" t="str">
        <f t="shared" si="33"/>
        <v>4000-5000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316.05</v>
      </c>
      <c r="AA238" s="1066">
        <v>-2</v>
      </c>
      <c r="AB238" s="1066"/>
      <c r="AC238" s="1066">
        <f t="shared" si="39"/>
        <v>30</v>
      </c>
      <c r="AD238" s="1066">
        <f>AC238*('Ввод исходных данных'!$D$83-AA238)</f>
        <v>600</v>
      </c>
      <c r="AE238" s="1067">
        <v>-7.8</v>
      </c>
      <c r="AF238" s="1067"/>
      <c r="AG238" s="1067">
        <v>31</v>
      </c>
      <c r="AH238" s="1067">
        <f>AG238*('Ввод исходных данных'!$D$83-AE238)</f>
        <v>799.80000000000007</v>
      </c>
      <c r="AI238" s="1068">
        <v>-9.8000000000000007</v>
      </c>
      <c r="AJ238" s="1068"/>
      <c r="AK238" s="1068">
        <v>31</v>
      </c>
      <c r="AL238" s="1068">
        <f>AK238*('Ввод исходных данных'!$D$83-AI238)</f>
        <v>861.80000000000007</v>
      </c>
      <c r="AM238" s="1069">
        <v>-9.6999999999999993</v>
      </c>
      <c r="AN238" s="1069"/>
      <c r="AO238" s="1069">
        <v>28</v>
      </c>
      <c r="AP238" s="1069">
        <f>AO238*('Ввод исходных данных'!$D$83-AM238)</f>
        <v>775.6</v>
      </c>
      <c r="AQ238" s="1064">
        <v>-3.7</v>
      </c>
      <c r="AR238" s="1064"/>
      <c r="AS238" s="1064">
        <f t="shared" si="40"/>
        <v>31</v>
      </c>
      <c r="AT238" s="1064">
        <f>AS238*('Ввод исходных данных'!$D$83-AQ238)</f>
        <v>672.69999999999993</v>
      </c>
      <c r="AU238" s="1070">
        <v>6.8</v>
      </c>
      <c r="AV238" s="1070"/>
      <c r="AW238" s="1070">
        <f t="shared" si="41"/>
        <v>24.5</v>
      </c>
      <c r="AX238" s="1070">
        <f>AW238*('Ввод исходных данных'!$D$83-AU238)</f>
        <v>274.39999999999998</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25">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6175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210.9</v>
      </c>
      <c r="W239" s="1065">
        <v>-0.5</v>
      </c>
      <c r="X239" s="1065"/>
      <c r="Y239" s="1065">
        <f t="shared" si="38"/>
        <v>31</v>
      </c>
      <c r="Z239" s="1065">
        <f>Y239*('Ввод исходных данных'!$D$83-W239)</f>
        <v>573.5</v>
      </c>
      <c r="AA239" s="1066">
        <v>-8.5</v>
      </c>
      <c r="AB239" s="1066"/>
      <c r="AC239" s="1066">
        <f t="shared" si="39"/>
        <v>30</v>
      </c>
      <c r="AD239" s="1066">
        <f>AC239*('Ввод исходных данных'!$D$83-AA239)</f>
        <v>795</v>
      </c>
      <c r="AE239" s="1067">
        <v>-14.1</v>
      </c>
      <c r="AF239" s="1067"/>
      <c r="AG239" s="1067">
        <v>31</v>
      </c>
      <c r="AH239" s="1067">
        <f>AG239*('Ввод исходных данных'!$D$83-AE239)</f>
        <v>995.1</v>
      </c>
      <c r="AI239" s="1068">
        <v>-16.7</v>
      </c>
      <c r="AJ239" s="1068"/>
      <c r="AK239" s="1068">
        <v>31</v>
      </c>
      <c r="AL239" s="1068">
        <f>AK239*('Ввод исходных данных'!$D$83-AI239)</f>
        <v>1075.7</v>
      </c>
      <c r="AM239" s="1069">
        <v>-14.8</v>
      </c>
      <c r="AN239" s="1069"/>
      <c r="AO239" s="1069">
        <v>28</v>
      </c>
      <c r="AP239" s="1069">
        <f>AO239*('Ввод исходных данных'!$D$83-AM239)</f>
        <v>918.39999999999986</v>
      </c>
      <c r="AQ239" s="1064">
        <v>-6.7</v>
      </c>
      <c r="AR239" s="1064"/>
      <c r="AS239" s="1064">
        <f t="shared" si="40"/>
        <v>31</v>
      </c>
      <c r="AT239" s="1064">
        <f>AS239*('Ввод исходных данных'!$D$83-AQ239)</f>
        <v>765.69999999999993</v>
      </c>
      <c r="AU239" s="1070">
        <v>0.7</v>
      </c>
      <c r="AV239" s="1070"/>
      <c r="AW239" s="1070">
        <f t="shared" si="41"/>
        <v>30</v>
      </c>
      <c r="AX239" s="1070">
        <f>AW239*('Ввод исходных данных'!$D$83-AU239)</f>
        <v>519</v>
      </c>
      <c r="AY239" s="1071">
        <v>7.7</v>
      </c>
      <c r="AZ239" s="1071"/>
      <c r="BA239" s="1071">
        <f t="shared" si="42"/>
        <v>19</v>
      </c>
      <c r="BB239" s="1071">
        <f>BA239*('Ввод исходных данных'!$D$83-AY239)</f>
        <v>195.70000000000002</v>
      </c>
      <c r="BC239" s="1072">
        <v>13.4</v>
      </c>
      <c r="BD239" s="1072"/>
      <c r="BE239" s="1072">
        <f t="shared" si="34"/>
        <v>0</v>
      </c>
      <c r="BF239" s="1073">
        <f>BE239*('Ввод исходных данных'!$D$83-BC239)</f>
        <v>0</v>
      </c>
    </row>
    <row r="240" spans="2:58" ht="15.75" customHeight="1" x14ac:dyDescent="0.25">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5326.1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35.550000000000004</v>
      </c>
      <c r="W240" s="1065">
        <v>2.2999999999999998</v>
      </c>
      <c r="X240" s="1065"/>
      <c r="Y240" s="1065">
        <f t="shared" si="38"/>
        <v>31</v>
      </c>
      <c r="Z240" s="1065">
        <f>Y240*('Ввод исходных данных'!$D$83-W240)</f>
        <v>486.7</v>
      </c>
      <c r="AA240" s="1066">
        <v>-5.0999999999999996</v>
      </c>
      <c r="AB240" s="1066"/>
      <c r="AC240" s="1066">
        <f t="shared" si="39"/>
        <v>30</v>
      </c>
      <c r="AD240" s="1066">
        <f>AC240*('Ввод исходных данных'!$D$83-AA240)</f>
        <v>693</v>
      </c>
      <c r="AE240" s="1067">
        <v>-12.1</v>
      </c>
      <c r="AF240" s="1067"/>
      <c r="AG240" s="1067">
        <v>31</v>
      </c>
      <c r="AH240" s="1067">
        <f>AG240*('Ввод исходных данных'!$D$83-AE240)</f>
        <v>933.1</v>
      </c>
      <c r="AI240" s="1068">
        <v>-14.6</v>
      </c>
      <c r="AJ240" s="1068"/>
      <c r="AK240" s="1068">
        <v>31</v>
      </c>
      <c r="AL240" s="1068">
        <f>AK240*('Ввод исходных данных'!$D$83-AI240)</f>
        <v>1010.6</v>
      </c>
      <c r="AM240" s="1069">
        <v>-13.7</v>
      </c>
      <c r="AN240" s="1069"/>
      <c r="AO240" s="1069">
        <v>28</v>
      </c>
      <c r="AP240" s="1069">
        <f>AO240*('Ввод исходных данных'!$D$83-AM240)</f>
        <v>887.6</v>
      </c>
      <c r="AQ240" s="1064">
        <v>-6.8</v>
      </c>
      <c r="AR240" s="1064"/>
      <c r="AS240" s="1064">
        <f t="shared" si="40"/>
        <v>31</v>
      </c>
      <c r="AT240" s="1064">
        <f>AS240*('Ввод исходных данных'!$D$83-AQ240)</f>
        <v>768.80000000000007</v>
      </c>
      <c r="AU240" s="1070">
        <v>2.9</v>
      </c>
      <c r="AV240" s="1070"/>
      <c r="AW240" s="1070">
        <f t="shared" si="41"/>
        <v>30</v>
      </c>
      <c r="AX240" s="1070">
        <f>AW240*('Ввод исходных данных'!$D$83-AU240)</f>
        <v>453</v>
      </c>
      <c r="AY240" s="1071">
        <v>11</v>
      </c>
      <c r="AZ240" s="1071"/>
      <c r="BA240" s="1071">
        <f t="shared" si="42"/>
        <v>4.5</v>
      </c>
      <c r="BB240" s="1071">
        <f>BA240*('Ввод исходных данных'!$D$83-AY240)</f>
        <v>31.5</v>
      </c>
      <c r="BC240" s="1072">
        <v>16.7</v>
      </c>
      <c r="BD240" s="1072"/>
      <c r="BE240" s="1072">
        <f t="shared" si="34"/>
        <v>0</v>
      </c>
      <c r="BF240" s="1073">
        <f>BE240*('Ввод исходных данных'!$D$83-BC240)</f>
        <v>0</v>
      </c>
    </row>
    <row r="241" spans="2:58" ht="15.75" customHeight="1" x14ac:dyDescent="0.25">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5287.5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55.25</v>
      </c>
      <c r="W241" s="1065">
        <v>2.2999999999999998</v>
      </c>
      <c r="X241" s="1065"/>
      <c r="Y241" s="1065">
        <f t="shared" si="38"/>
        <v>31</v>
      </c>
      <c r="Z241" s="1065">
        <f>Y241*('Ввод исходных данных'!$D$83-W241)</f>
        <v>486.7</v>
      </c>
      <c r="AA241" s="1066">
        <v>-5.6</v>
      </c>
      <c r="AB241" s="1066"/>
      <c r="AC241" s="1066">
        <f t="shared" si="39"/>
        <v>30</v>
      </c>
      <c r="AD241" s="1066">
        <f>AC241*('Ввод исходных данных'!$D$83-AA241)</f>
        <v>708</v>
      </c>
      <c r="AE241" s="1067">
        <v>-11.3</v>
      </c>
      <c r="AF241" s="1067"/>
      <c r="AG241" s="1067">
        <v>31</v>
      </c>
      <c r="AH241" s="1067">
        <f>AG241*('Ввод исходных данных'!$D$83-AE241)</f>
        <v>908.30000000000007</v>
      </c>
      <c r="AI241" s="1068">
        <v>-13.9</v>
      </c>
      <c r="AJ241" s="1068"/>
      <c r="AK241" s="1068">
        <v>31</v>
      </c>
      <c r="AL241" s="1068">
        <f>AK241*('Ввод исходных данных'!$D$83-AI241)</f>
        <v>988.9</v>
      </c>
      <c r="AM241" s="1069">
        <v>-12.3</v>
      </c>
      <c r="AN241" s="1069"/>
      <c r="AO241" s="1069">
        <v>28</v>
      </c>
      <c r="AP241" s="1069">
        <f>AO241*('Ввод исходных данных'!$D$83-AM241)</f>
        <v>848.4</v>
      </c>
      <c r="AQ241" s="1064">
        <v>-4.5</v>
      </c>
      <c r="AR241" s="1064"/>
      <c r="AS241" s="1064">
        <f t="shared" si="40"/>
        <v>31</v>
      </c>
      <c r="AT241" s="1064">
        <f>AS241*('Ввод исходных данных'!$D$83-AQ241)</f>
        <v>697.5</v>
      </c>
      <c r="AU241" s="1070">
        <v>3.5</v>
      </c>
      <c r="AV241" s="1070"/>
      <c r="AW241" s="1070">
        <f t="shared" si="41"/>
        <v>30</v>
      </c>
      <c r="AX241" s="1070">
        <f>AW241*('Ввод исходных данных'!$D$83-AU241)</f>
        <v>435</v>
      </c>
      <c r="AY241" s="1071">
        <v>10.6</v>
      </c>
      <c r="AZ241" s="1071"/>
      <c r="BA241" s="1071">
        <f t="shared" si="42"/>
        <v>6.5</v>
      </c>
      <c r="BB241" s="1071">
        <f>BA241*('Ввод исходных данных'!$D$83-AY241)</f>
        <v>48.1</v>
      </c>
      <c r="BC241" s="1072">
        <v>15.8</v>
      </c>
      <c r="BD241" s="1072"/>
      <c r="BE241" s="1072">
        <f t="shared" si="34"/>
        <v>0</v>
      </c>
      <c r="BF241" s="1073">
        <f>BE241*('Ввод исходных данных'!$D$83-BC241)</f>
        <v>0</v>
      </c>
    </row>
    <row r="242" spans="2:58" ht="15.75" customHeight="1" x14ac:dyDescent="0.25">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6051.5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165</v>
      </c>
      <c r="W242" s="1065">
        <v>-0.3</v>
      </c>
      <c r="X242" s="1065"/>
      <c r="Y242" s="1065">
        <f t="shared" si="38"/>
        <v>31</v>
      </c>
      <c r="Z242" s="1065">
        <f>Y242*('Ввод исходных данных'!$D$83-W242)</f>
        <v>567.30000000000007</v>
      </c>
      <c r="AA242" s="1066">
        <v>-8.3000000000000007</v>
      </c>
      <c r="AB242" s="1066"/>
      <c r="AC242" s="1066">
        <f t="shared" si="39"/>
        <v>30</v>
      </c>
      <c r="AD242" s="1066">
        <f>AC242*('Ввод исходных данных'!$D$83-AA242)</f>
        <v>789</v>
      </c>
      <c r="AE242" s="1067">
        <v>-14.4</v>
      </c>
      <c r="AF242" s="1067"/>
      <c r="AG242" s="1067">
        <v>31</v>
      </c>
      <c r="AH242" s="1067">
        <f>AG242*('Ввод исходных данных'!$D$83-AE242)</f>
        <v>1004.4</v>
      </c>
      <c r="AI242" s="1068">
        <v>-17</v>
      </c>
      <c r="AJ242" s="1068"/>
      <c r="AK242" s="1068">
        <v>31</v>
      </c>
      <c r="AL242" s="1068">
        <f>AK242*('Ввод исходных данных'!$D$83-AI242)</f>
        <v>1085</v>
      </c>
      <c r="AM242" s="1069">
        <v>-14.8</v>
      </c>
      <c r="AN242" s="1069"/>
      <c r="AO242" s="1069">
        <v>28</v>
      </c>
      <c r="AP242" s="1069">
        <f>AO242*('Ввод исходных данных'!$D$83-AM242)</f>
        <v>918.39999999999986</v>
      </c>
      <c r="AQ242" s="1064">
        <v>-7.9</v>
      </c>
      <c r="AR242" s="1064"/>
      <c r="AS242" s="1064">
        <f t="shared" si="40"/>
        <v>31</v>
      </c>
      <c r="AT242" s="1064">
        <f>AS242*('Ввод исходных данных'!$D$83-AQ242)</f>
        <v>802.9</v>
      </c>
      <c r="AU242" s="1070">
        <v>1.4</v>
      </c>
      <c r="AV242" s="1070"/>
      <c r="AW242" s="1070">
        <f t="shared" si="41"/>
        <v>30</v>
      </c>
      <c r="AX242" s="1070">
        <f>AW242*('Ввод исходных данных'!$D$83-AU242)</f>
        <v>498.00000000000006</v>
      </c>
      <c r="AY242" s="1071">
        <v>8</v>
      </c>
      <c r="AZ242" s="1071"/>
      <c r="BA242" s="1071">
        <f t="shared" si="42"/>
        <v>16.5</v>
      </c>
      <c r="BB242" s="1071">
        <f>BA242*('Ввод исходных данных'!$D$83-AY242)</f>
        <v>165</v>
      </c>
      <c r="BC242" s="1072">
        <v>14.4</v>
      </c>
      <c r="BD242" s="1072"/>
      <c r="BE242" s="1072">
        <f t="shared" si="34"/>
        <v>0</v>
      </c>
      <c r="BF242" s="1073">
        <f>BE242*('Ввод исходных данных'!$D$83-BC242)</f>
        <v>0</v>
      </c>
    </row>
    <row r="243" spans="2:58" ht="15.75" customHeight="1" x14ac:dyDescent="0.25">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5982.9</v>
      </c>
      <c r="J243" s="1059" t="str">
        <f t="shared" si="33"/>
        <v>5000-6000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65.55</v>
      </c>
      <c r="W243" s="1065">
        <v>2.9</v>
      </c>
      <c r="X243" s="1065"/>
      <c r="Y243" s="1065">
        <f t="shared" si="38"/>
        <v>31</v>
      </c>
      <c r="Z243" s="1065">
        <f>Y243*('Ввод исходных данных'!$D$83-W243)</f>
        <v>468.09999999999997</v>
      </c>
      <c r="AA243" s="1066">
        <v>-8.4</v>
      </c>
      <c r="AB243" s="1066"/>
      <c r="AC243" s="1066">
        <f t="shared" si="39"/>
        <v>30</v>
      </c>
      <c r="AD243" s="1066">
        <f>AC243*('Ввод исходных данных'!$D$83-AA243)</f>
        <v>792</v>
      </c>
      <c r="AE243" s="1067">
        <v>-18</v>
      </c>
      <c r="AF243" s="1067"/>
      <c r="AG243" s="1067">
        <v>31</v>
      </c>
      <c r="AH243" s="1067">
        <f>AG243*('Ввод исходных данных'!$D$83-AE243)</f>
        <v>1116</v>
      </c>
      <c r="AI243" s="1068">
        <v>-20.3</v>
      </c>
      <c r="AJ243" s="1068"/>
      <c r="AK243" s="1068">
        <v>31</v>
      </c>
      <c r="AL243" s="1068">
        <f>AK243*('Ввод исходных данных'!$D$83-AI243)</f>
        <v>1187.3</v>
      </c>
      <c r="AM243" s="1069">
        <v>-15.8</v>
      </c>
      <c r="AN243" s="1069"/>
      <c r="AO243" s="1069">
        <v>28</v>
      </c>
      <c r="AP243" s="1069">
        <f>AO243*('Ввод исходных данных'!$D$83-AM243)</f>
        <v>946.39999999999986</v>
      </c>
      <c r="AQ243" s="1064">
        <v>-7.1</v>
      </c>
      <c r="AR243" s="1064"/>
      <c r="AS243" s="1064">
        <f t="shared" si="40"/>
        <v>31</v>
      </c>
      <c r="AT243" s="1064">
        <f>AS243*('Ввод исходных данных'!$D$83-AQ243)</f>
        <v>778.1</v>
      </c>
      <c r="AU243" s="1070">
        <v>2.1</v>
      </c>
      <c r="AV243" s="1070"/>
      <c r="AW243" s="1070">
        <f t="shared" si="41"/>
        <v>30</v>
      </c>
      <c r="AX243" s="1070">
        <f>AW243*('Ввод исходных данных'!$D$83-AU243)</f>
        <v>477</v>
      </c>
      <c r="AY243" s="1071">
        <v>8.3000000000000007</v>
      </c>
      <c r="AZ243" s="1071"/>
      <c r="BA243" s="1071">
        <f t="shared" si="42"/>
        <v>9.5</v>
      </c>
      <c r="BB243" s="1071">
        <f>BA243*('Ввод исходных данных'!$D$83-AY243)</f>
        <v>92.149999999999991</v>
      </c>
      <c r="BC243" s="1072">
        <v>13.3</v>
      </c>
      <c r="BD243" s="1072"/>
      <c r="BE243" s="1072">
        <f t="shared" si="34"/>
        <v>0</v>
      </c>
      <c r="BF243" s="1073">
        <f>BE243*('Ввод исходных данных'!$D$83-BC243)</f>
        <v>0</v>
      </c>
    </row>
    <row r="244" spans="2:58" ht="15.75" customHeight="1" x14ac:dyDescent="0.25">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5298.3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319.8</v>
      </c>
      <c r="AA244" s="1066">
        <v>-5.7</v>
      </c>
      <c r="AB244" s="1066"/>
      <c r="AC244" s="1066">
        <f t="shared" si="39"/>
        <v>30</v>
      </c>
      <c r="AD244" s="1066">
        <f>AC244*('Ввод исходных данных'!$D$83-AA244)</f>
        <v>711</v>
      </c>
      <c r="AE244" s="1067">
        <v>-16.7</v>
      </c>
      <c r="AF244" s="1067"/>
      <c r="AG244" s="1067">
        <v>31</v>
      </c>
      <c r="AH244" s="1067">
        <f>AG244*('Ввод исходных данных'!$D$83-AE244)</f>
        <v>1075.7</v>
      </c>
      <c r="AI244" s="1068">
        <v>-20.3</v>
      </c>
      <c r="AJ244" s="1068"/>
      <c r="AK244" s="1068">
        <v>31</v>
      </c>
      <c r="AL244" s="1068">
        <f>AK244*('Ввод исходных данных'!$D$83-AI244)</f>
        <v>1187.3</v>
      </c>
      <c r="AM244" s="1069">
        <v>-16</v>
      </c>
      <c r="AN244" s="1069"/>
      <c r="AO244" s="1069">
        <v>28</v>
      </c>
      <c r="AP244" s="1069">
        <f>AO244*('Ввод исходных данных'!$D$83-AM244)</f>
        <v>952</v>
      </c>
      <c r="AQ244" s="1064">
        <v>-5.9</v>
      </c>
      <c r="AR244" s="1064"/>
      <c r="AS244" s="1064">
        <f t="shared" si="40"/>
        <v>31</v>
      </c>
      <c r="AT244" s="1064">
        <f>AS244*('Ввод исходных данных'!$D$83-AQ244)</f>
        <v>740.9</v>
      </c>
      <c r="AU244" s="1070">
        <v>5</v>
      </c>
      <c r="AV244" s="1070"/>
      <c r="AW244" s="1070">
        <f t="shared" si="41"/>
        <v>26</v>
      </c>
      <c r="AX244" s="1070">
        <f>AW244*('Ввод исходных данных'!$D$83-AU244)</f>
        <v>338</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25">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4969.2000000000007</v>
      </c>
      <c r="J245" s="1059" t="str">
        <f t="shared" si="33"/>
        <v>4000-5000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288.15000000000003</v>
      </c>
      <c r="AA245" s="1066">
        <v>-4.3</v>
      </c>
      <c r="AB245" s="1066"/>
      <c r="AC245" s="1066">
        <f t="shared" si="39"/>
        <v>30</v>
      </c>
      <c r="AD245" s="1066">
        <f>AC245*('Ввод исходных данных'!$D$83-AA245)</f>
        <v>669</v>
      </c>
      <c r="AE245" s="1067">
        <v>-13.9</v>
      </c>
      <c r="AF245" s="1067"/>
      <c r="AG245" s="1067">
        <v>31</v>
      </c>
      <c r="AH245" s="1067">
        <f>AG245*('Ввод исходных данных'!$D$83-AE245)</f>
        <v>988.9</v>
      </c>
      <c r="AI245" s="1068">
        <v>-17.7</v>
      </c>
      <c r="AJ245" s="1068"/>
      <c r="AK245" s="1068">
        <v>31</v>
      </c>
      <c r="AL245" s="1068">
        <f>AK245*('Ввод исходных данных'!$D$83-AI245)</f>
        <v>1106.7</v>
      </c>
      <c r="AM245" s="1069">
        <v>-13.6</v>
      </c>
      <c r="AN245" s="1069"/>
      <c r="AO245" s="1069">
        <v>28</v>
      </c>
      <c r="AP245" s="1069">
        <f>AO245*('Ввод исходных данных'!$D$83-AM245)</f>
        <v>884.80000000000007</v>
      </c>
      <c r="AQ245" s="1064">
        <v>-4.8</v>
      </c>
      <c r="AR245" s="1064"/>
      <c r="AS245" s="1064">
        <f t="shared" si="40"/>
        <v>31</v>
      </c>
      <c r="AT245" s="1064">
        <f>AS245*('Ввод исходных данных'!$D$83-AQ245)</f>
        <v>706.80000000000007</v>
      </c>
      <c r="AU245" s="1070">
        <v>4.4000000000000004</v>
      </c>
      <c r="AV245" s="1070"/>
      <c r="AW245" s="1070">
        <f t="shared" si="41"/>
        <v>25.5</v>
      </c>
      <c r="AX245" s="1070">
        <f>AW245*('Ввод исходных данных'!$D$83-AU245)</f>
        <v>346.8</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25">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4617.5999999999995</v>
      </c>
      <c r="J246" s="1059" t="str">
        <f t="shared" si="33"/>
        <v>4000-5000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316.34999999999997</v>
      </c>
      <c r="AA246" s="1066">
        <v>-2.6</v>
      </c>
      <c r="AB246" s="1066"/>
      <c r="AC246" s="1066">
        <f t="shared" si="39"/>
        <v>30</v>
      </c>
      <c r="AD246" s="1066">
        <f>AC246*('Ввод исходных данных'!$D$83-AA246)</f>
        <v>618</v>
      </c>
      <c r="AE246" s="1067">
        <v>-10.8</v>
      </c>
      <c r="AF246" s="1067"/>
      <c r="AG246" s="1067">
        <v>31</v>
      </c>
      <c r="AH246" s="1067">
        <f>AG246*('Ввод исходных данных'!$D$83-AE246)</f>
        <v>892.80000000000007</v>
      </c>
      <c r="AI246" s="1068">
        <v>-13.3</v>
      </c>
      <c r="AJ246" s="1068"/>
      <c r="AK246" s="1068">
        <v>31</v>
      </c>
      <c r="AL246" s="1068">
        <f>AK246*('Ввод исходных данных'!$D$83-AI246)</f>
        <v>970.30000000000007</v>
      </c>
      <c r="AM246" s="1069">
        <v>-10.1</v>
      </c>
      <c r="AN246" s="1069"/>
      <c r="AO246" s="1069">
        <v>28</v>
      </c>
      <c r="AP246" s="1069">
        <f>AO246*('Ввод исходных данных'!$D$83-AM246)</f>
        <v>786.80000000000007</v>
      </c>
      <c r="AQ246" s="1064">
        <v>-3.1</v>
      </c>
      <c r="AR246" s="1064"/>
      <c r="AS246" s="1064">
        <f t="shared" si="40"/>
        <v>31</v>
      </c>
      <c r="AT246" s="1064">
        <f>AS246*('Ввод исходных данных'!$D$83-AQ246)</f>
        <v>654.1</v>
      </c>
      <c r="AU246" s="1070">
        <v>4.2</v>
      </c>
      <c r="AV246" s="1070"/>
      <c r="AW246" s="1070">
        <f t="shared" si="41"/>
        <v>28.5</v>
      </c>
      <c r="AX246" s="1070">
        <f>AW246*('Ввод исходных данных'!$D$83-AU246)</f>
        <v>393.3</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25">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4415.4000000000005</v>
      </c>
      <c r="J247" s="1059" t="str">
        <f t="shared" si="33"/>
        <v>4000-5000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218.55</v>
      </c>
      <c r="AA247" s="1066">
        <v>-1</v>
      </c>
      <c r="AB247" s="1066"/>
      <c r="AC247" s="1066">
        <f t="shared" si="39"/>
        <v>30</v>
      </c>
      <c r="AD247" s="1066">
        <f>AC247*('Ввод исходных данных'!$D$83-AA247)</f>
        <v>570</v>
      </c>
      <c r="AE247" s="1067">
        <v>-9.3000000000000007</v>
      </c>
      <c r="AF247" s="1067"/>
      <c r="AG247" s="1067">
        <v>31</v>
      </c>
      <c r="AH247" s="1067">
        <f>AG247*('Ввод исходных данных'!$D$83-AE247)</f>
        <v>846.30000000000007</v>
      </c>
      <c r="AI247" s="1068">
        <v>-12.6</v>
      </c>
      <c r="AJ247" s="1068"/>
      <c r="AK247" s="1068">
        <v>31</v>
      </c>
      <c r="AL247" s="1068">
        <f>AK247*('Ввод исходных данных'!$D$83-AI247)</f>
        <v>948.6</v>
      </c>
      <c r="AM247" s="1069">
        <v>-9.1</v>
      </c>
      <c r="AN247" s="1069"/>
      <c r="AO247" s="1069">
        <v>28</v>
      </c>
      <c r="AP247" s="1069">
        <f>AO247*('Ввод исходных данных'!$D$83-AM247)</f>
        <v>758.80000000000007</v>
      </c>
      <c r="AQ247" s="1064">
        <v>-2.1</v>
      </c>
      <c r="AR247" s="1064"/>
      <c r="AS247" s="1064">
        <f t="shared" si="40"/>
        <v>31</v>
      </c>
      <c r="AT247" s="1064">
        <f>AS247*('Ввод исходных данных'!$D$83-AQ247)</f>
        <v>623.1</v>
      </c>
      <c r="AU247" s="1070">
        <v>4.8</v>
      </c>
      <c r="AV247" s="1070"/>
      <c r="AW247" s="1070">
        <f t="shared" si="41"/>
        <v>23.5</v>
      </c>
      <c r="AX247" s="1070">
        <f>AW247*('Ввод исходных данных'!$D$83-AU247)</f>
        <v>310.2</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25">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5313.3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297.60000000000002</v>
      </c>
      <c r="AA248" s="1066">
        <v>-5.8</v>
      </c>
      <c r="AB248" s="1066"/>
      <c r="AC248" s="1066">
        <f t="shared" si="39"/>
        <v>30</v>
      </c>
      <c r="AD248" s="1066">
        <f>AC248*('Ввод исходных данных'!$D$83-AA248)</f>
        <v>714</v>
      </c>
      <c r="AE248" s="1067">
        <v>-16.2</v>
      </c>
      <c r="AF248" s="1067"/>
      <c r="AG248" s="1067">
        <v>31</v>
      </c>
      <c r="AH248" s="1067">
        <f>AG248*('Ввод исходных данных'!$D$83-AE248)</f>
        <v>1060.2</v>
      </c>
      <c r="AI248" s="1068">
        <v>-19.3</v>
      </c>
      <c r="AJ248" s="1068"/>
      <c r="AK248" s="1068">
        <v>31</v>
      </c>
      <c r="AL248" s="1068">
        <f>AK248*('Ввод исходных данных'!$D$83-AI248)</f>
        <v>1156.3</v>
      </c>
      <c r="AM248" s="1069">
        <v>-14.8</v>
      </c>
      <c r="AN248" s="1069"/>
      <c r="AO248" s="1069">
        <v>28</v>
      </c>
      <c r="AP248" s="1069">
        <f>AO248*('Ввод исходных данных'!$D$83-AM248)</f>
        <v>918.39999999999986</v>
      </c>
      <c r="AQ248" s="1064">
        <v>-5.3</v>
      </c>
      <c r="AR248" s="1064"/>
      <c r="AS248" s="1064">
        <f t="shared" si="40"/>
        <v>31</v>
      </c>
      <c r="AT248" s="1064">
        <f>AS248*('Ввод исходных данных'!$D$83-AQ248)</f>
        <v>722.30000000000007</v>
      </c>
      <c r="AU248" s="1070">
        <v>5.6</v>
      </c>
      <c r="AV248" s="1070"/>
      <c r="AW248" s="1070">
        <f t="shared" si="41"/>
        <v>24</v>
      </c>
      <c r="AX248" s="1070">
        <f>AW248*('Ввод исходных данных'!$D$83-AU248)</f>
        <v>297.60000000000002</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25">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5386.8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302.5</v>
      </c>
      <c r="AA249" s="1066">
        <v>-5.8</v>
      </c>
      <c r="AB249" s="1066"/>
      <c r="AC249" s="1066">
        <f t="shared" si="39"/>
        <v>30</v>
      </c>
      <c r="AD249" s="1066">
        <f>AC249*('Ввод исходных данных'!$D$83-AA249)</f>
        <v>714</v>
      </c>
      <c r="AE249" s="1067">
        <v>-16.7</v>
      </c>
      <c r="AF249" s="1067"/>
      <c r="AG249" s="1067">
        <v>31</v>
      </c>
      <c r="AH249" s="1067">
        <f>AG249*('Ввод исходных данных'!$D$83-AE249)</f>
        <v>1075.7</v>
      </c>
      <c r="AI249" s="1068">
        <v>-20.6</v>
      </c>
      <c r="AJ249" s="1068"/>
      <c r="AK249" s="1068">
        <v>31</v>
      </c>
      <c r="AL249" s="1068">
        <f>AK249*('Ввод исходных данных'!$D$83-AI249)</f>
        <v>1196.6000000000001</v>
      </c>
      <c r="AM249" s="1069">
        <v>-16.899999999999999</v>
      </c>
      <c r="AN249" s="1069"/>
      <c r="AO249" s="1069">
        <v>28</v>
      </c>
      <c r="AP249" s="1069">
        <f>AO249*('Ввод исходных данных'!$D$83-AM249)</f>
        <v>977.19999999999993</v>
      </c>
      <c r="AQ249" s="1064">
        <v>-6.4</v>
      </c>
      <c r="AR249" s="1064"/>
      <c r="AS249" s="1064">
        <f t="shared" si="40"/>
        <v>31</v>
      </c>
      <c r="AT249" s="1064">
        <f>AS249*('Ввод исходных данных'!$D$83-AQ249)</f>
        <v>756.4</v>
      </c>
      <c r="AU249" s="1070">
        <v>5.0999999999999996</v>
      </c>
      <c r="AV249" s="1070"/>
      <c r="AW249" s="1070">
        <f t="shared" si="41"/>
        <v>25</v>
      </c>
      <c r="AX249" s="1070">
        <f>AW249*('Ввод исходных данных'!$D$83-AU249)</f>
        <v>322.5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25">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6076</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14.75</v>
      </c>
      <c r="W250" s="1065">
        <v>3.1</v>
      </c>
      <c r="X250" s="1065"/>
      <c r="Y250" s="1065">
        <f t="shared" si="38"/>
        <v>31</v>
      </c>
      <c r="Z250" s="1065">
        <f>Y250*('Ввод исходных данных'!$D$83-W250)</f>
        <v>461.90000000000003</v>
      </c>
      <c r="AA250" s="1066">
        <v>-8.9</v>
      </c>
      <c r="AB250" s="1066"/>
      <c r="AC250" s="1066">
        <f t="shared" si="39"/>
        <v>30</v>
      </c>
      <c r="AD250" s="1066">
        <f>AC250*('Ввод исходных данных'!$D$83-AA250)</f>
        <v>807</v>
      </c>
      <c r="AE250" s="1067">
        <v>-19.899999999999999</v>
      </c>
      <c r="AF250" s="1067"/>
      <c r="AG250" s="1067">
        <v>31</v>
      </c>
      <c r="AH250" s="1067">
        <f>AG250*('Ввод исходных данных'!$D$83-AE250)</f>
        <v>1174.8999999999999</v>
      </c>
      <c r="AI250" s="1068">
        <v>-23.4</v>
      </c>
      <c r="AJ250" s="1068"/>
      <c r="AK250" s="1068">
        <v>31</v>
      </c>
      <c r="AL250" s="1068">
        <f>AK250*('Ввод исходных данных'!$D$83-AI250)</f>
        <v>1283.3999999999999</v>
      </c>
      <c r="AM250" s="1069">
        <v>-19.100000000000001</v>
      </c>
      <c r="AN250" s="1069"/>
      <c r="AO250" s="1069">
        <v>28</v>
      </c>
      <c r="AP250" s="1069">
        <f>AO250*('Ввод исходных данных'!$D$83-AM250)</f>
        <v>1038.8</v>
      </c>
      <c r="AQ250" s="1064">
        <v>-8.1999999999999993</v>
      </c>
      <c r="AR250" s="1064"/>
      <c r="AS250" s="1064">
        <f t="shared" si="40"/>
        <v>31</v>
      </c>
      <c r="AT250" s="1064">
        <f>AS250*('Ввод исходных данных'!$D$83-AQ250)</f>
        <v>812.19999999999993</v>
      </c>
      <c r="AU250" s="1070">
        <v>3.1</v>
      </c>
      <c r="AV250" s="1070"/>
      <c r="AW250" s="1070">
        <f t="shared" si="41"/>
        <v>30</v>
      </c>
      <c r="AX250" s="1070">
        <f>AW250*('Ввод исходных данных'!$D$83-AU250)</f>
        <v>447</v>
      </c>
      <c r="AY250" s="1071">
        <v>10.7</v>
      </c>
      <c r="AZ250" s="1071"/>
      <c r="BA250" s="1071">
        <f t="shared" si="42"/>
        <v>2.5</v>
      </c>
      <c r="BB250" s="1071">
        <f>BA250*('Ввод исходных данных'!$D$83-AY250)</f>
        <v>18.25</v>
      </c>
      <c r="BC250" s="1072">
        <v>16.399999999999999</v>
      </c>
      <c r="BD250" s="1072"/>
      <c r="BE250" s="1072">
        <f t="shared" si="34"/>
        <v>0</v>
      </c>
      <c r="BF250" s="1073">
        <f>BE250*('Ввод исходных данных'!$D$83-BC250)</f>
        <v>0</v>
      </c>
    </row>
    <row r="251" spans="2:58" ht="15.75" customHeight="1" x14ac:dyDescent="0.25">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4618.9000000000005</v>
      </c>
      <c r="J251" s="1059" t="str">
        <f t="shared" si="33"/>
        <v>4000-5000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319</v>
      </c>
      <c r="AA251" s="1066">
        <v>-1.9</v>
      </c>
      <c r="AB251" s="1066"/>
      <c r="AC251" s="1066">
        <f t="shared" si="39"/>
        <v>30</v>
      </c>
      <c r="AD251" s="1066">
        <f>AC251*('Ввод исходных данных'!$D$83-AA251)</f>
        <v>597</v>
      </c>
      <c r="AE251" s="1067">
        <v>-10.1</v>
      </c>
      <c r="AF251" s="1067"/>
      <c r="AG251" s="1067">
        <v>31</v>
      </c>
      <c r="AH251" s="1067">
        <f>AG251*('Ввод исходных данных'!$D$83-AE251)</f>
        <v>871.1</v>
      </c>
      <c r="AI251" s="1068">
        <v>-12.7</v>
      </c>
      <c r="AJ251" s="1068"/>
      <c r="AK251" s="1068">
        <v>31</v>
      </c>
      <c r="AL251" s="1068">
        <f>AK251*('Ввод исходных данных'!$D$83-AI251)</f>
        <v>951.69999999999993</v>
      </c>
      <c r="AM251" s="1069">
        <v>-9.9</v>
      </c>
      <c r="AN251" s="1069"/>
      <c r="AO251" s="1069">
        <v>28</v>
      </c>
      <c r="AP251" s="1069">
        <f>AO251*('Ввод исходных данных'!$D$83-AM251)</f>
        <v>781.19999999999993</v>
      </c>
      <c r="AQ251" s="1064">
        <v>-3.2</v>
      </c>
      <c r="AR251" s="1064"/>
      <c r="AS251" s="1064">
        <f t="shared" si="40"/>
        <v>31</v>
      </c>
      <c r="AT251" s="1064">
        <f>AS251*('Ввод исходных данных'!$D$83-AQ251)</f>
        <v>657.19999999999993</v>
      </c>
      <c r="AU251" s="1070">
        <v>4</v>
      </c>
      <c r="AV251" s="1070"/>
      <c r="AW251" s="1070">
        <f t="shared" si="41"/>
        <v>29</v>
      </c>
      <c r="AX251" s="1070">
        <f>AW251*('Ввод исходных данных'!$D$83-AU251)</f>
        <v>406</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25">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6099.6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29.7</v>
      </c>
      <c r="W252" s="1065">
        <v>2.9</v>
      </c>
      <c r="X252" s="1065"/>
      <c r="Y252" s="1065">
        <f t="shared" si="38"/>
        <v>31</v>
      </c>
      <c r="Z252" s="1065">
        <f>Y252*('Ввод исходных данных'!$D$83-W252)</f>
        <v>468.09999999999997</v>
      </c>
      <c r="AA252" s="1066">
        <v>-8.6</v>
      </c>
      <c r="AB252" s="1066"/>
      <c r="AC252" s="1066">
        <f t="shared" si="39"/>
        <v>30</v>
      </c>
      <c r="AD252" s="1066">
        <f>AC252*('Ввод исходных данных'!$D$83-AA252)</f>
        <v>798</v>
      </c>
      <c r="AE252" s="1067">
        <v>-19.2</v>
      </c>
      <c r="AF252" s="1067"/>
      <c r="AG252" s="1067">
        <v>31</v>
      </c>
      <c r="AH252" s="1067">
        <f>AG252*('Ввод исходных данных'!$D$83-AE252)</f>
        <v>1153.2</v>
      </c>
      <c r="AI252" s="1068">
        <v>-21.9</v>
      </c>
      <c r="AJ252" s="1068"/>
      <c r="AK252" s="1068">
        <v>31</v>
      </c>
      <c r="AL252" s="1068">
        <f>AK252*('Ввод исходных данных'!$D$83-AI252)</f>
        <v>1236.8999999999999</v>
      </c>
      <c r="AM252" s="1069">
        <v>-17.2</v>
      </c>
      <c r="AN252" s="1069"/>
      <c r="AO252" s="1069">
        <v>28</v>
      </c>
      <c r="AP252" s="1069">
        <f>AO252*('Ввод исходных данных'!$D$83-AM252)</f>
        <v>985.60000000000014</v>
      </c>
      <c r="AQ252" s="1064">
        <v>-7.7</v>
      </c>
      <c r="AR252" s="1064"/>
      <c r="AS252" s="1064">
        <f t="shared" si="40"/>
        <v>31</v>
      </c>
      <c r="AT252" s="1064">
        <f>AS252*('Ввод исходных данных'!$D$83-AQ252)</f>
        <v>796.69999999999993</v>
      </c>
      <c r="AU252" s="1070">
        <v>3</v>
      </c>
      <c r="AV252" s="1070"/>
      <c r="AW252" s="1070">
        <f t="shared" si="41"/>
        <v>30</v>
      </c>
      <c r="AX252" s="1070">
        <f>AW252*('Ввод исходных данных'!$D$83-AU252)</f>
        <v>450</v>
      </c>
      <c r="AY252" s="1071">
        <v>10</v>
      </c>
      <c r="AZ252" s="1071"/>
      <c r="BA252" s="1071">
        <f t="shared" si="42"/>
        <v>4.5</v>
      </c>
      <c r="BB252" s="1071">
        <f>BA252*('Ввод исходных данных'!$D$83-AY252)</f>
        <v>36</v>
      </c>
      <c r="BC252" s="1072">
        <v>15.5</v>
      </c>
      <c r="BD252" s="1072"/>
      <c r="BE252" s="1072">
        <f t="shared" si="34"/>
        <v>0</v>
      </c>
      <c r="BF252" s="1073">
        <f>BE252*('Ввод исходных данных'!$D$83-BC252)</f>
        <v>0</v>
      </c>
    </row>
    <row r="253" spans="2:58" ht="15.75" customHeight="1" x14ac:dyDescent="0.25">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4455</v>
      </c>
      <c r="J253" s="1059" t="str">
        <f t="shared" si="33"/>
        <v>4000-5000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246.75</v>
      </c>
      <c r="AA253" s="1066">
        <v>-2.2000000000000002</v>
      </c>
      <c r="AB253" s="1066"/>
      <c r="AC253" s="1066">
        <f t="shared" si="39"/>
        <v>30</v>
      </c>
      <c r="AD253" s="1066">
        <f>AC253*('Ввод исходных данных'!$D$83-AA253)</f>
        <v>606</v>
      </c>
      <c r="AE253" s="1067">
        <v>-10.7</v>
      </c>
      <c r="AF253" s="1067"/>
      <c r="AG253" s="1067">
        <v>31</v>
      </c>
      <c r="AH253" s="1067">
        <f>AG253*('Ввод исходных данных'!$D$83-AE253)</f>
        <v>889.69999999999993</v>
      </c>
      <c r="AI253" s="1068">
        <v>-13.4</v>
      </c>
      <c r="AJ253" s="1068"/>
      <c r="AK253" s="1068">
        <v>31</v>
      </c>
      <c r="AL253" s="1068">
        <f>AK253*('Ввод исходных данных'!$D$83-AI253)</f>
        <v>973.4</v>
      </c>
      <c r="AM253" s="1069">
        <v>-10.3</v>
      </c>
      <c r="AN253" s="1069"/>
      <c r="AO253" s="1069">
        <v>28</v>
      </c>
      <c r="AP253" s="1069">
        <f>AO253*('Ввод исходных данных'!$D$83-AM253)</f>
        <v>792.4</v>
      </c>
      <c r="AQ253" s="1064">
        <v>-3.1</v>
      </c>
      <c r="AR253" s="1064"/>
      <c r="AS253" s="1064">
        <f t="shared" si="40"/>
        <v>31</v>
      </c>
      <c r="AT253" s="1064">
        <f>AS253*('Ввод исходных данных'!$D$83-AQ253)</f>
        <v>654.1</v>
      </c>
      <c r="AU253" s="1070">
        <v>5.0999999999999996</v>
      </c>
      <c r="AV253" s="1070"/>
      <c r="AW253" s="1070">
        <f t="shared" si="41"/>
        <v>23.5</v>
      </c>
      <c r="AX253" s="1070">
        <f>AW253*('Ввод исходных данных'!$D$83-AU253)</f>
        <v>303.15000000000003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25">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3908.2999999999997</v>
      </c>
      <c r="J254" s="1059" t="str">
        <f t="shared" si="33"/>
        <v>3000-4000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147.6</v>
      </c>
      <c r="AA254" s="1066">
        <v>0.6</v>
      </c>
      <c r="AB254" s="1066"/>
      <c r="AC254" s="1066">
        <f t="shared" si="39"/>
        <v>30</v>
      </c>
      <c r="AD254" s="1066">
        <f>AC254*('Ввод исходных данных'!$D$83-AA254)</f>
        <v>522</v>
      </c>
      <c r="AE254" s="1067">
        <v>-6.9</v>
      </c>
      <c r="AF254" s="1067"/>
      <c r="AG254" s="1067">
        <v>31</v>
      </c>
      <c r="AH254" s="1067">
        <f>AG254*('Ввод исходных данных'!$D$83-AE254)</f>
        <v>771.9</v>
      </c>
      <c r="AI254" s="1068">
        <v>-9.6</v>
      </c>
      <c r="AJ254" s="1068"/>
      <c r="AK254" s="1068">
        <v>31</v>
      </c>
      <c r="AL254" s="1068">
        <f>AK254*('Ввод исходных данных'!$D$83-AI254)</f>
        <v>855.6</v>
      </c>
      <c r="AM254" s="1069">
        <v>-6.5</v>
      </c>
      <c r="AN254" s="1069"/>
      <c r="AO254" s="1069">
        <v>28</v>
      </c>
      <c r="AP254" s="1069">
        <f>AO254*('Ввод исходных данных'!$D$83-AM254)</f>
        <v>686</v>
      </c>
      <c r="AQ254" s="1064">
        <v>-0.5</v>
      </c>
      <c r="AR254" s="1064"/>
      <c r="AS254" s="1064">
        <f t="shared" si="40"/>
        <v>31</v>
      </c>
      <c r="AT254" s="1064">
        <f>AS254*('Ввод исходных данных'!$D$83-AQ254)</f>
        <v>573.5</v>
      </c>
      <c r="AU254" s="1070">
        <v>6.1</v>
      </c>
      <c r="AV254" s="1070"/>
      <c r="AW254" s="1070">
        <f t="shared" si="41"/>
        <v>18</v>
      </c>
      <c r="AX254" s="1070">
        <f>AW254*('Ввод исходных данных'!$D$83-AU254)</f>
        <v>214.20000000000002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25">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3959.2000000000003</v>
      </c>
      <c r="J255" s="1059" t="str">
        <f t="shared" si="33"/>
        <v>3000-4000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219.29999999999998</v>
      </c>
      <c r="AA255" s="1066">
        <v>1.4</v>
      </c>
      <c r="AB255" s="1066"/>
      <c r="AC255" s="1066">
        <f t="shared" si="39"/>
        <v>30</v>
      </c>
      <c r="AD255" s="1066">
        <f>AC255*('Ввод исходных данных'!$D$83-AA255)</f>
        <v>498.00000000000006</v>
      </c>
      <c r="AE255" s="1067">
        <v>-5.5</v>
      </c>
      <c r="AF255" s="1067"/>
      <c r="AG255" s="1067">
        <v>31</v>
      </c>
      <c r="AH255" s="1067">
        <f>AG255*('Ввод исходных данных'!$D$83-AE255)</f>
        <v>728.5</v>
      </c>
      <c r="AI255" s="1068">
        <v>-7.8</v>
      </c>
      <c r="AJ255" s="1068"/>
      <c r="AK255" s="1068">
        <v>31</v>
      </c>
      <c r="AL255" s="1068">
        <f>AK255*('Ввод исходных данных'!$D$83-AI255)</f>
        <v>799.80000000000007</v>
      </c>
      <c r="AM255" s="1069">
        <v>-5.7</v>
      </c>
      <c r="AN255" s="1069"/>
      <c r="AO255" s="1069">
        <v>28</v>
      </c>
      <c r="AP255" s="1069">
        <f>AO255*('Ввод исходных данных'!$D$83-AM255)</f>
        <v>663.6</v>
      </c>
      <c r="AQ255" s="1064">
        <v>-0.7</v>
      </c>
      <c r="AR255" s="1064"/>
      <c r="AS255" s="1064">
        <f t="shared" si="40"/>
        <v>31</v>
      </c>
      <c r="AT255" s="1064">
        <f>AS255*('Ввод исходных данных'!$D$83-AQ255)</f>
        <v>579.69999999999993</v>
      </c>
      <c r="AU255" s="1070">
        <v>4.5999999999999996</v>
      </c>
      <c r="AV255" s="1070"/>
      <c r="AW255" s="1070">
        <f t="shared" si="41"/>
        <v>25.5</v>
      </c>
      <c r="AX255" s="1070">
        <f>AW255*('Ввод исходных данных'!$D$83-AU255)</f>
        <v>341.7</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25">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4536.5</v>
      </c>
      <c r="J256" s="1059" t="str">
        <f t="shared" si="33"/>
        <v>4000-5000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5.1000000000000005</v>
      </c>
      <c r="W256" s="1065">
        <v>7.7</v>
      </c>
      <c r="X256" s="1065"/>
      <c r="Y256" s="1065">
        <f t="shared" si="38"/>
        <v>31</v>
      </c>
      <c r="Z256" s="1065">
        <f>Y256*('Ввод исходных данных'!$D$83-W256)</f>
        <v>319.3</v>
      </c>
      <c r="AA256" s="1066">
        <v>-1.2</v>
      </c>
      <c r="AB256" s="1066"/>
      <c r="AC256" s="1066">
        <f t="shared" si="39"/>
        <v>30</v>
      </c>
      <c r="AD256" s="1066">
        <f>AC256*('Ввод исходных данных'!$D$83-AA256)</f>
        <v>576</v>
      </c>
      <c r="AE256" s="1067">
        <v>-8.8000000000000007</v>
      </c>
      <c r="AF256" s="1067"/>
      <c r="AG256" s="1067">
        <v>31</v>
      </c>
      <c r="AH256" s="1067">
        <f>AG256*('Ввод исходных данных'!$D$83-AE256)</f>
        <v>830.80000000000007</v>
      </c>
      <c r="AI256" s="1068">
        <v>-10.9</v>
      </c>
      <c r="AJ256" s="1068"/>
      <c r="AK256" s="1068">
        <v>31</v>
      </c>
      <c r="AL256" s="1068">
        <f>AK256*('Ввод исходных данных'!$D$83-AI256)</f>
        <v>895.9</v>
      </c>
      <c r="AM256" s="1069">
        <v>-8.1</v>
      </c>
      <c r="AN256" s="1069"/>
      <c r="AO256" s="1069">
        <v>28</v>
      </c>
      <c r="AP256" s="1069">
        <f>AO256*('Ввод исходных данных'!$D$83-AM256)</f>
        <v>730.80000000000007</v>
      </c>
      <c r="AQ256" s="1064">
        <v>-2</v>
      </c>
      <c r="AR256" s="1064"/>
      <c r="AS256" s="1064">
        <f t="shared" si="40"/>
        <v>31</v>
      </c>
      <c r="AT256" s="1064">
        <f>AS256*('Ввод исходных данных'!$D$83-AQ256)</f>
        <v>620</v>
      </c>
      <c r="AU256" s="1070">
        <v>3.7</v>
      </c>
      <c r="AV256" s="1070"/>
      <c r="AW256" s="1070">
        <f t="shared" si="41"/>
        <v>30</v>
      </c>
      <c r="AX256" s="1070">
        <f>AW256*('Ввод исходных данных'!$D$83-AU256)</f>
        <v>429</v>
      </c>
      <c r="AY256" s="1071">
        <v>7.9</v>
      </c>
      <c r="AZ256" s="1071"/>
      <c r="BA256" s="1071">
        <f t="shared" si="42"/>
        <v>1.5</v>
      </c>
      <c r="BB256" s="1071">
        <f>BA256*('Ввод исходных данных'!$D$83-AY256)</f>
        <v>15.149999999999999</v>
      </c>
      <c r="BC256" s="1072">
        <v>11.5</v>
      </c>
      <c r="BD256" s="1072"/>
      <c r="BE256" s="1072">
        <f t="shared" si="34"/>
        <v>0</v>
      </c>
      <c r="BF256" s="1073">
        <f>BE256*('Ввод исходных данных'!$D$83-BC256)</f>
        <v>0</v>
      </c>
    </row>
    <row r="257" spans="2:58" ht="15.75" customHeight="1" x14ac:dyDescent="0.25">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5341</v>
      </c>
      <c r="J257" s="1059" t="str">
        <f t="shared" si="33"/>
        <v>5000-6000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85.799999999999983</v>
      </c>
      <c r="W257" s="1065">
        <v>6.1</v>
      </c>
      <c r="X257" s="1065"/>
      <c r="Y257" s="1065">
        <f t="shared" si="38"/>
        <v>31</v>
      </c>
      <c r="Z257" s="1065">
        <f>Y257*('Ввод исходных данных'!$D$83-W257)</f>
        <v>368.90000000000003</v>
      </c>
      <c r="AA257" s="1066">
        <v>-3.3</v>
      </c>
      <c r="AB257" s="1066"/>
      <c r="AC257" s="1066">
        <f t="shared" si="39"/>
        <v>30</v>
      </c>
      <c r="AD257" s="1066">
        <f>AC257*('Ввод исходных данных'!$D$83-AA257)</f>
        <v>639</v>
      </c>
      <c r="AE257" s="1067">
        <v>-11.2</v>
      </c>
      <c r="AF257" s="1067"/>
      <c r="AG257" s="1067">
        <v>31</v>
      </c>
      <c r="AH257" s="1067">
        <f>AG257*('Ввод исходных данных'!$D$83-AE257)</f>
        <v>905.19999999999993</v>
      </c>
      <c r="AI257" s="1068">
        <v>-13.4</v>
      </c>
      <c r="AJ257" s="1068"/>
      <c r="AK257" s="1068">
        <v>31</v>
      </c>
      <c r="AL257" s="1068">
        <f>AK257*('Ввод исходных данных'!$D$83-AI257)</f>
        <v>973.4</v>
      </c>
      <c r="AM257" s="1069">
        <v>-10.9</v>
      </c>
      <c r="AN257" s="1069"/>
      <c r="AO257" s="1069">
        <v>28</v>
      </c>
      <c r="AP257" s="1069">
        <f>AO257*('Ввод исходных данных'!$D$83-AM257)</f>
        <v>809.19999999999993</v>
      </c>
      <c r="AQ257" s="1064">
        <v>-4.8</v>
      </c>
      <c r="AR257" s="1064"/>
      <c r="AS257" s="1064">
        <f t="shared" si="40"/>
        <v>31</v>
      </c>
      <c r="AT257" s="1064">
        <f>AS257*('Ввод исходных данных'!$D$83-AQ257)</f>
        <v>706.80000000000007</v>
      </c>
      <c r="AU257" s="1070">
        <v>1.4</v>
      </c>
      <c r="AV257" s="1070"/>
      <c r="AW257" s="1070">
        <f t="shared" si="41"/>
        <v>30</v>
      </c>
      <c r="AX257" s="1070">
        <f>AW257*('Ввод исходных данных'!$D$83-AU257)</f>
        <v>498.00000000000006</v>
      </c>
      <c r="AY257" s="1071">
        <v>5.4</v>
      </c>
      <c r="AZ257" s="1071"/>
      <c r="BA257" s="1071">
        <f t="shared" si="42"/>
        <v>16.5</v>
      </c>
      <c r="BB257" s="1071">
        <f>BA257*('Ввод исходных данных'!$D$83-AY257)</f>
        <v>207.9</v>
      </c>
      <c r="BC257" s="1072">
        <v>9.1</v>
      </c>
      <c r="BD257" s="1072"/>
      <c r="BE257" s="1072">
        <f t="shared" si="34"/>
        <v>0</v>
      </c>
      <c r="BF257" s="1073">
        <f>BE257*('Ввод исходных данных'!$D$83-BC257)</f>
        <v>0</v>
      </c>
    </row>
    <row r="258" spans="2:58" ht="15.75" customHeight="1" x14ac:dyDescent="0.25">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5612.6</v>
      </c>
      <c r="J258" s="1059" t="str">
        <f t="shared" si="33"/>
        <v>5000-6000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408</v>
      </c>
      <c r="AA258" s="1066">
        <v>-7.2</v>
      </c>
      <c r="AB258" s="1066"/>
      <c r="AC258" s="1066">
        <f t="shared" si="39"/>
        <v>30</v>
      </c>
      <c r="AD258" s="1066">
        <f>AC258*('Ввод исходных данных'!$D$83-AA258)</f>
        <v>756</v>
      </c>
      <c r="AE258" s="1067">
        <v>-17.899999999999999</v>
      </c>
      <c r="AF258" s="1067"/>
      <c r="AG258" s="1067">
        <v>31</v>
      </c>
      <c r="AH258" s="1067">
        <f>AG258*('Ввод исходных данных'!$D$83-AE258)</f>
        <v>1112.8999999999999</v>
      </c>
      <c r="AI258" s="1068">
        <v>-21.3</v>
      </c>
      <c r="AJ258" s="1068"/>
      <c r="AK258" s="1068">
        <v>31</v>
      </c>
      <c r="AL258" s="1068">
        <f>AK258*('Ввод исходных данных'!$D$83-AI258)</f>
        <v>1218.3</v>
      </c>
      <c r="AM258" s="1069">
        <v>-17.3</v>
      </c>
      <c r="AN258" s="1069"/>
      <c r="AO258" s="1069">
        <v>28</v>
      </c>
      <c r="AP258" s="1069">
        <f>AO258*('Ввод исходных данных'!$D$83-AM258)</f>
        <v>988.39999999999986</v>
      </c>
      <c r="AQ258" s="1064">
        <v>-6.7</v>
      </c>
      <c r="AR258" s="1064"/>
      <c r="AS258" s="1064">
        <f t="shared" si="40"/>
        <v>31</v>
      </c>
      <c r="AT258" s="1064">
        <f>AS258*('Ввод исходных данных'!$D$83-AQ258)</f>
        <v>765.69999999999993</v>
      </c>
      <c r="AU258" s="1070">
        <v>4.3</v>
      </c>
      <c r="AV258" s="1070"/>
      <c r="AW258" s="1070">
        <f t="shared" si="41"/>
        <v>30</v>
      </c>
      <c r="AX258" s="1070">
        <f>AW258*('Ввод исходных данных'!$D$83-AU258)</f>
        <v>411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25">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4056</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356.25</v>
      </c>
      <c r="AA259" s="1066">
        <v>-0.1</v>
      </c>
      <c r="AB259" s="1066"/>
      <c r="AC259" s="1066">
        <f t="shared" si="39"/>
        <v>30</v>
      </c>
      <c r="AD259" s="1066">
        <f>AC259*('Ввод исходных данных'!$D$83-AA259)</f>
        <v>543</v>
      </c>
      <c r="AE259" s="1067">
        <v>-4.5</v>
      </c>
      <c r="AF259" s="1067"/>
      <c r="AG259" s="1067">
        <v>31</v>
      </c>
      <c r="AH259" s="1067">
        <f>AG259*('Ввод исходных данных'!$D$83-AE259)</f>
        <v>697.5</v>
      </c>
      <c r="AI259" s="1068">
        <v>-6.8</v>
      </c>
      <c r="AJ259" s="1068"/>
      <c r="AK259" s="1068">
        <v>31</v>
      </c>
      <c r="AL259" s="1068">
        <f>AK259*('Ввод исходных данных'!$D$83-AI259)</f>
        <v>768.80000000000007</v>
      </c>
      <c r="AM259" s="1069">
        <v>-6.5</v>
      </c>
      <c r="AN259" s="1069"/>
      <c r="AO259" s="1069">
        <v>28</v>
      </c>
      <c r="AP259" s="1069">
        <f>AO259*('Ввод исходных данных'!$D$83-AM259)</f>
        <v>686</v>
      </c>
      <c r="AQ259" s="1064">
        <v>-1.3</v>
      </c>
      <c r="AR259" s="1064"/>
      <c r="AS259" s="1064">
        <f t="shared" si="40"/>
        <v>31</v>
      </c>
      <c r="AT259" s="1064">
        <f>AS259*('Ввод исходных данных'!$D$83-AQ259)</f>
        <v>598.30000000000007</v>
      </c>
      <c r="AU259" s="1070">
        <v>5.8</v>
      </c>
      <c r="AV259" s="1070"/>
      <c r="AW259" s="1070">
        <f t="shared" si="41"/>
        <v>28.5</v>
      </c>
      <c r="AX259" s="1070">
        <f>AW259*('Ввод исходных данных'!$D$83-AU259)</f>
        <v>347.7</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25">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4014.4</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353.40000000000003</v>
      </c>
      <c r="AA260" s="1066">
        <v>0.1</v>
      </c>
      <c r="AB260" s="1066"/>
      <c r="AC260" s="1066">
        <f t="shared" si="39"/>
        <v>30</v>
      </c>
      <c r="AD260" s="1066">
        <f>AC260*('Ввод исходных данных'!$D$83-AA260)</f>
        <v>537</v>
      </c>
      <c r="AE260" s="1067">
        <v>-4.0999999999999996</v>
      </c>
      <c r="AF260" s="1067"/>
      <c r="AG260" s="1067">
        <v>31</v>
      </c>
      <c r="AH260" s="1067">
        <f>AG260*('Ввод исходных данных'!$D$83-AE260)</f>
        <v>685.1</v>
      </c>
      <c r="AI260" s="1068">
        <v>-6.3</v>
      </c>
      <c r="AJ260" s="1068"/>
      <c r="AK260" s="1068">
        <v>31</v>
      </c>
      <c r="AL260" s="1068">
        <f>AK260*('Ввод исходных данных'!$D$83-AI260)</f>
        <v>753.30000000000007</v>
      </c>
      <c r="AM260" s="1069">
        <v>-6.2</v>
      </c>
      <c r="AN260" s="1069"/>
      <c r="AO260" s="1069">
        <v>28</v>
      </c>
      <c r="AP260" s="1069">
        <f>AO260*('Ввод исходных данных'!$D$83-AM260)</f>
        <v>677.6</v>
      </c>
      <c r="AQ260" s="1064">
        <v>-1.3</v>
      </c>
      <c r="AR260" s="1064"/>
      <c r="AS260" s="1064">
        <f t="shared" si="40"/>
        <v>31</v>
      </c>
      <c r="AT260" s="1064">
        <f>AS260*('Ввод исходных данных'!$D$83-AQ260)</f>
        <v>598.30000000000007</v>
      </c>
      <c r="AU260" s="1070">
        <v>5.5</v>
      </c>
      <c r="AV260" s="1070"/>
      <c r="AW260" s="1070">
        <f t="shared" si="41"/>
        <v>28.5</v>
      </c>
      <c r="AX260" s="1070">
        <f>AW260*('Ввод исходных данных'!$D$83-AU260)</f>
        <v>356.25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25">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2323.6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342.20000000000005</v>
      </c>
      <c r="AE261" s="1067">
        <v>1.4</v>
      </c>
      <c r="AF261" s="1067"/>
      <c r="AG261" s="1067">
        <v>31</v>
      </c>
      <c r="AH261" s="1067">
        <f>AG261*('Ввод исходных данных'!$D$83-AE261)</f>
        <v>514.6</v>
      </c>
      <c r="AI261" s="1068">
        <v>-1.4</v>
      </c>
      <c r="AJ261" s="1068"/>
      <c r="AK261" s="1068">
        <v>31</v>
      </c>
      <c r="AL261" s="1068">
        <f>AK261*('Ввод исходных данных'!$D$83-AI261)</f>
        <v>601.4</v>
      </c>
      <c r="AM261" s="1069">
        <v>0.3</v>
      </c>
      <c r="AN261" s="1069"/>
      <c r="AO261" s="1069">
        <v>28</v>
      </c>
      <c r="AP261" s="1069">
        <f>AO261*('Ввод исходных данных'!$D$83-AM261)</f>
        <v>495.59999999999997</v>
      </c>
      <c r="AQ261" s="1064">
        <v>4.0999999999999996</v>
      </c>
      <c r="AR261" s="1064"/>
      <c r="AS261" s="1064">
        <f t="shared" si="40"/>
        <v>29</v>
      </c>
      <c r="AT261" s="1064">
        <f>AS261*('Ввод исходных данных'!$D$83-AQ261)</f>
        <v>403.1</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25">
      <c r="B262" s="1076" t="s">
        <v>620</v>
      </c>
      <c r="C262" s="1076" t="s">
        <v>9</v>
      </c>
      <c r="D262" s="1053" t="str">
        <f t="shared" si="43"/>
        <v>республика АлтайБеля</v>
      </c>
      <c r="E262" s="1054">
        <v>223</v>
      </c>
      <c r="F262" s="1055">
        <v>-2.7</v>
      </c>
      <c r="G262" s="1055">
        <v>-23</v>
      </c>
      <c r="H262" s="1057">
        <v>7</v>
      </c>
      <c r="I262" s="1058">
        <f>E262*('Ввод исходных данных'!$D$83-F262)</f>
        <v>4616.0999999999995</v>
      </c>
      <c r="J262" s="1059" t="str">
        <f t="shared" si="33"/>
        <v>4000-5000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40.150000000000006</v>
      </c>
      <c r="W262" s="1065">
        <v>4.0999999999999996</v>
      </c>
      <c r="X262" s="1065"/>
      <c r="Y262" s="1065">
        <f t="shared" si="38"/>
        <v>31</v>
      </c>
      <c r="Z262" s="1065">
        <f>Y262*('Ввод исходных данных'!$D$83-W262)</f>
        <v>430.90000000000003</v>
      </c>
      <c r="AA262" s="1066">
        <v>-3.2</v>
      </c>
      <c r="AB262" s="1066"/>
      <c r="AC262" s="1066">
        <f t="shared" si="39"/>
        <v>30</v>
      </c>
      <c r="AD262" s="1066">
        <f>AC262*('Ввод исходных данных'!$D$83-AA262)</f>
        <v>636</v>
      </c>
      <c r="AE262" s="1067">
        <v>-7.9</v>
      </c>
      <c r="AF262" s="1067"/>
      <c r="AG262" s="1067">
        <v>31</v>
      </c>
      <c r="AH262" s="1067">
        <f>AG262*('Ввод исходных данных'!$D$83-AE262)</f>
        <v>802.9</v>
      </c>
      <c r="AI262" s="1068">
        <v>-9.1999999999999993</v>
      </c>
      <c r="AJ262" s="1068"/>
      <c r="AK262" s="1068">
        <v>31</v>
      </c>
      <c r="AL262" s="1068">
        <f>AK262*('Ввод исходных данных'!$D$83-AI262)</f>
        <v>843.19999999999993</v>
      </c>
      <c r="AM262" s="1069">
        <v>-8.1</v>
      </c>
      <c r="AN262" s="1069"/>
      <c r="AO262" s="1069">
        <v>28</v>
      </c>
      <c r="AP262" s="1069">
        <f>AO262*('Ввод исходных данных'!$D$83-AM262)</f>
        <v>730.80000000000007</v>
      </c>
      <c r="AQ262" s="1064">
        <v>-3.2</v>
      </c>
      <c r="AR262" s="1064"/>
      <c r="AS262" s="1064">
        <f t="shared" si="40"/>
        <v>31</v>
      </c>
      <c r="AT262" s="1064">
        <f>AS262*('Ввод исходных данных'!$D$83-AQ262)</f>
        <v>657.19999999999993</v>
      </c>
      <c r="AU262" s="1070">
        <v>3.2</v>
      </c>
      <c r="AV262" s="1070"/>
      <c r="AW262" s="1070">
        <f t="shared" si="41"/>
        <v>30</v>
      </c>
      <c r="AX262" s="1070">
        <f>AW262*('Ввод исходных данных'!$D$83-AU262)</f>
        <v>444</v>
      </c>
      <c r="AY262" s="1071">
        <v>9.5</v>
      </c>
      <c r="AZ262" s="1071"/>
      <c r="BA262" s="1071">
        <f t="shared" si="42"/>
        <v>5.5</v>
      </c>
      <c r="BB262" s="1071">
        <f>BA262*('Ввод исходных данных'!$D$83-AY262)</f>
        <v>46.75</v>
      </c>
      <c r="BC262" s="1072">
        <v>14.6</v>
      </c>
      <c r="BD262" s="1072"/>
      <c r="BE262" s="1072">
        <f t="shared" si="34"/>
        <v>0</v>
      </c>
      <c r="BF262" s="1073">
        <f>BE262*('Ввод исходных данных'!$D$83-BC262)</f>
        <v>0</v>
      </c>
    </row>
    <row r="263" spans="2:58" ht="15.75" customHeight="1" x14ac:dyDescent="0.25">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6446.4</v>
      </c>
      <c r="J263" s="1059" t="str">
        <f t="shared" si="33"/>
        <v>6000-7000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126.25</v>
      </c>
      <c r="W263" s="1065">
        <v>0.2</v>
      </c>
      <c r="X263" s="1065"/>
      <c r="Y263" s="1065">
        <f t="shared" si="38"/>
        <v>31</v>
      </c>
      <c r="Z263" s="1065">
        <f>Y263*('Ввод исходных данных'!$D$83-W263)</f>
        <v>551.80000000000007</v>
      </c>
      <c r="AA263" s="1066">
        <v>-11.4</v>
      </c>
      <c r="AB263" s="1066"/>
      <c r="AC263" s="1066">
        <f t="shared" si="39"/>
        <v>30</v>
      </c>
      <c r="AD263" s="1066">
        <f>AC263*('Ввод исходных данных'!$D$83-AA263)</f>
        <v>882</v>
      </c>
      <c r="AE263" s="1067">
        <v>-19.899999999999999</v>
      </c>
      <c r="AF263" s="1067"/>
      <c r="AG263" s="1067">
        <v>31</v>
      </c>
      <c r="AH263" s="1067">
        <f>AG263*('Ввод исходных данных'!$D$83-AE263)</f>
        <v>1174.8999999999999</v>
      </c>
      <c r="AI263" s="1068">
        <v>-22.8</v>
      </c>
      <c r="AJ263" s="1068"/>
      <c r="AK263" s="1068">
        <v>31</v>
      </c>
      <c r="AL263" s="1068">
        <f>AK263*('Ввод исходных данных'!$D$83-AI263)</f>
        <v>1264.8</v>
      </c>
      <c r="AM263" s="1069">
        <v>-18.8</v>
      </c>
      <c r="AN263" s="1069"/>
      <c r="AO263" s="1069">
        <v>28</v>
      </c>
      <c r="AP263" s="1069">
        <f>AO263*('Ввод исходных данных'!$D$83-AM263)</f>
        <v>1030.3999999999999</v>
      </c>
      <c r="AQ263" s="1064">
        <v>-9.1999999999999993</v>
      </c>
      <c r="AR263" s="1064"/>
      <c r="AS263" s="1064">
        <f t="shared" si="40"/>
        <v>31</v>
      </c>
      <c r="AT263" s="1064">
        <f>AS263*('Ввод исходных данных'!$D$83-AQ263)</f>
        <v>843.19999999999993</v>
      </c>
      <c r="AU263" s="1070">
        <v>2.2999999999999998</v>
      </c>
      <c r="AV263" s="1070"/>
      <c r="AW263" s="1070">
        <f t="shared" si="41"/>
        <v>30</v>
      </c>
      <c r="AX263" s="1070">
        <f>AW263*('Ввод исходных данных'!$D$83-AU263)</f>
        <v>471</v>
      </c>
      <c r="AY263" s="1071">
        <v>9.5</v>
      </c>
      <c r="AZ263" s="1071"/>
      <c r="BA263" s="1071">
        <f t="shared" si="42"/>
        <v>12.5</v>
      </c>
      <c r="BB263" s="1071">
        <f>BA263*('Ввод исходных данных'!$D$83-AY263)</f>
        <v>106.25</v>
      </c>
      <c r="BC263" s="1072">
        <v>14.2</v>
      </c>
      <c r="BD263" s="1072"/>
      <c r="BE263" s="1072">
        <f t="shared" si="34"/>
        <v>0</v>
      </c>
      <c r="BF263" s="1073">
        <f>BE263*('Ввод исходных данных'!$D$83-BC263)</f>
        <v>0</v>
      </c>
    </row>
    <row r="264" spans="2:58" ht="15.75" customHeight="1" x14ac:dyDescent="0.25">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7680</v>
      </c>
      <c r="J264" s="1059" t="str">
        <f t="shared" si="33"/>
        <v>7000-8000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255.2</v>
      </c>
      <c r="W264" s="1065">
        <v>-2.9</v>
      </c>
      <c r="X264" s="1065"/>
      <c r="Y264" s="1065">
        <f t="shared" si="38"/>
        <v>31</v>
      </c>
      <c r="Z264" s="1065">
        <f>Y264*('Ввод исходных данных'!$D$83-W264)</f>
        <v>647.9</v>
      </c>
      <c r="AA264" s="1066">
        <v>-15.5</v>
      </c>
      <c r="AB264" s="1066"/>
      <c r="AC264" s="1066">
        <f t="shared" si="39"/>
        <v>30</v>
      </c>
      <c r="AD264" s="1066">
        <f>AC264*('Ввод исходных данных'!$D$83-AA264)</f>
        <v>1005</v>
      </c>
      <c r="AE264" s="1067">
        <v>-24.6</v>
      </c>
      <c r="AF264" s="1067"/>
      <c r="AG264" s="1067">
        <v>31</v>
      </c>
      <c r="AH264" s="1067">
        <f>AG264*('Ввод исходных данных'!$D$83-AE264)</f>
        <v>1320.6000000000001</v>
      </c>
      <c r="AI264" s="1068">
        <v>-27.5</v>
      </c>
      <c r="AJ264" s="1068"/>
      <c r="AK264" s="1068">
        <v>31</v>
      </c>
      <c r="AL264" s="1068">
        <f>AK264*('Ввод исходных данных'!$D$83-AI264)</f>
        <v>1410.5</v>
      </c>
      <c r="AM264" s="1069">
        <v>-23.6</v>
      </c>
      <c r="AN264" s="1069"/>
      <c r="AO264" s="1069">
        <v>28</v>
      </c>
      <c r="AP264" s="1069">
        <f>AO264*('Ввод исходных данных'!$D$83-AM264)</f>
        <v>1164.8</v>
      </c>
      <c r="AQ264" s="1064">
        <v>-12.2</v>
      </c>
      <c r="AR264" s="1064"/>
      <c r="AS264" s="1064">
        <f t="shared" si="40"/>
        <v>31</v>
      </c>
      <c r="AT264" s="1064">
        <f>AS264*('Ввод исходных данных'!$D$83-AQ264)</f>
        <v>936.19999999999993</v>
      </c>
      <c r="AU264" s="1070">
        <v>-0.2</v>
      </c>
      <c r="AV264" s="1070"/>
      <c r="AW264" s="1070">
        <f t="shared" si="41"/>
        <v>30</v>
      </c>
      <c r="AX264" s="1070">
        <f>AW264*('Ввод исходных данных'!$D$83-AU264)</f>
        <v>546</v>
      </c>
      <c r="AY264" s="1071">
        <v>7</v>
      </c>
      <c r="AZ264" s="1071"/>
      <c r="BA264" s="1071">
        <f t="shared" si="42"/>
        <v>22</v>
      </c>
      <c r="BB264" s="1071">
        <f>BA264*('Ввод исходных данных'!$D$83-AY264)</f>
        <v>242</v>
      </c>
      <c r="BC264" s="1072">
        <v>12.7</v>
      </c>
      <c r="BD264" s="1072"/>
      <c r="BE264" s="1072">
        <f t="shared" si="34"/>
        <v>0</v>
      </c>
      <c r="BF264" s="1073">
        <f>BE264*('Ввод исходных данных'!$D$83-BC264)</f>
        <v>0</v>
      </c>
    </row>
    <row r="265" spans="2:58" ht="15.75" customHeight="1" x14ac:dyDescent="0.25">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6075.3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90.25</v>
      </c>
      <c r="W265" s="1065">
        <v>1.1000000000000001</v>
      </c>
      <c r="X265" s="1065"/>
      <c r="Y265" s="1065">
        <f t="shared" si="38"/>
        <v>31</v>
      </c>
      <c r="Z265" s="1065">
        <f>Y265*('Ввод исходных данных'!$D$83-W265)</f>
        <v>523.9</v>
      </c>
      <c r="AA265" s="1066">
        <v>-10.1</v>
      </c>
      <c r="AB265" s="1066"/>
      <c r="AC265" s="1066">
        <f t="shared" si="39"/>
        <v>30</v>
      </c>
      <c r="AD265" s="1066">
        <f>AC265*('Ввод исходных данных'!$D$83-AA265)</f>
        <v>843</v>
      </c>
      <c r="AE265" s="1067">
        <v>-18.3</v>
      </c>
      <c r="AF265" s="1067"/>
      <c r="AG265" s="1067">
        <v>31</v>
      </c>
      <c r="AH265" s="1067">
        <f>AG265*('Ввод исходных данных'!$D$83-AE265)</f>
        <v>1125.3</v>
      </c>
      <c r="AI265" s="1068">
        <v>-21.1</v>
      </c>
      <c r="AJ265" s="1068"/>
      <c r="AK265" s="1068">
        <v>31</v>
      </c>
      <c r="AL265" s="1068">
        <f>AK265*('Ввод исходных данных'!$D$83-AI265)</f>
        <v>1212.1000000000001</v>
      </c>
      <c r="AM265" s="1069">
        <v>-17.5</v>
      </c>
      <c r="AN265" s="1069"/>
      <c r="AO265" s="1069">
        <v>28</v>
      </c>
      <c r="AP265" s="1069">
        <f>AO265*('Ввод исходных данных'!$D$83-AM265)</f>
        <v>994</v>
      </c>
      <c r="AQ265" s="1064">
        <v>-7.2</v>
      </c>
      <c r="AR265" s="1064"/>
      <c r="AS265" s="1064">
        <f t="shared" si="40"/>
        <v>31</v>
      </c>
      <c r="AT265" s="1064">
        <f>AS265*('Ввод исходных данных'!$D$83-AQ265)</f>
        <v>781.19999999999993</v>
      </c>
      <c r="AU265" s="1070">
        <v>3.5</v>
      </c>
      <c r="AV265" s="1070"/>
      <c r="AW265" s="1070">
        <f t="shared" si="41"/>
        <v>30</v>
      </c>
      <c r="AX265" s="1070">
        <f>AW265*('Ввод исходных данных'!$D$83-AU265)</f>
        <v>435</v>
      </c>
      <c r="AY265" s="1071">
        <v>10</v>
      </c>
      <c r="AZ265" s="1071"/>
      <c r="BA265" s="1071">
        <f t="shared" si="42"/>
        <v>9.5</v>
      </c>
      <c r="BB265" s="1071">
        <f>BA265*('Ввод исходных данных'!$D$83-AY265)</f>
        <v>76</v>
      </c>
      <c r="BC265" s="1072">
        <v>14.9</v>
      </c>
      <c r="BD265" s="1072"/>
      <c r="BE265" s="1072">
        <f t="shared" si="34"/>
        <v>0</v>
      </c>
      <c r="BF265" s="1073">
        <f>BE265*('Ввод исходных данных'!$D$83-BC265)</f>
        <v>0</v>
      </c>
    </row>
    <row r="266" spans="2:58" ht="15.75" customHeight="1" x14ac:dyDescent="0.25">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5659.5</v>
      </c>
      <c r="J266" s="1059" t="str">
        <f t="shared" si="46"/>
        <v>5000-6000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88.350000000000009</v>
      </c>
      <c r="W266" s="1065">
        <v>0.7</v>
      </c>
      <c r="X266" s="1065"/>
      <c r="Y266" s="1065">
        <f t="shared" si="38"/>
        <v>31</v>
      </c>
      <c r="Z266" s="1065">
        <f>Y266*('Ввод исходных данных'!$D$83-W266)</f>
        <v>536.30000000000007</v>
      </c>
      <c r="AA266" s="1066">
        <v>-7.4</v>
      </c>
      <c r="AB266" s="1066"/>
      <c r="AC266" s="1066">
        <f t="shared" si="39"/>
        <v>30</v>
      </c>
      <c r="AD266" s="1066">
        <f>AC266*('Ввод исходных данных'!$D$83-AA266)</f>
        <v>762</v>
      </c>
      <c r="AE266" s="1067">
        <v>-13.8</v>
      </c>
      <c r="AF266" s="1067"/>
      <c r="AG266" s="1067">
        <v>31</v>
      </c>
      <c r="AH266" s="1067">
        <f>AG266*('Ввод исходных данных'!$D$83-AE266)</f>
        <v>985.80000000000007</v>
      </c>
      <c r="AI266" s="1068">
        <v>-16.2</v>
      </c>
      <c r="AJ266" s="1068"/>
      <c r="AK266" s="1068">
        <v>31</v>
      </c>
      <c r="AL266" s="1068">
        <f>AK266*('Ввод исходных данных'!$D$83-AI266)</f>
        <v>1060.2</v>
      </c>
      <c r="AM266" s="1069">
        <v>-14.4</v>
      </c>
      <c r="AN266" s="1069"/>
      <c r="AO266" s="1069">
        <v>28</v>
      </c>
      <c r="AP266" s="1069">
        <f>AO266*('Ввод исходных данных'!$D$83-AM266)</f>
        <v>907.19999999999993</v>
      </c>
      <c r="AQ266" s="1064">
        <v>-7.8</v>
      </c>
      <c r="AR266" s="1064"/>
      <c r="AS266" s="1064">
        <f t="shared" si="40"/>
        <v>31</v>
      </c>
      <c r="AT266" s="1064">
        <f>AS266*('Ввод исходных данных'!$D$83-AQ266)</f>
        <v>799.80000000000007</v>
      </c>
      <c r="AU266" s="1070">
        <v>2.7</v>
      </c>
      <c r="AV266" s="1070"/>
      <c r="AW266" s="1070">
        <f t="shared" si="41"/>
        <v>30</v>
      </c>
      <c r="AX266" s="1070">
        <f>AW266*('Ввод исходных данных'!$D$83-AU266)</f>
        <v>459</v>
      </c>
      <c r="AY266" s="1071">
        <v>10.199999999999999</v>
      </c>
      <c r="AZ266" s="1071"/>
      <c r="BA266" s="1071">
        <f t="shared" si="42"/>
        <v>9.5</v>
      </c>
      <c r="BB266" s="1071">
        <f>BA266*('Ввод исходных данных'!$D$83-AY266)</f>
        <v>74.100000000000009</v>
      </c>
      <c r="BC266" s="1072">
        <v>14.5</v>
      </c>
      <c r="BD266" s="1072"/>
      <c r="BE266" s="1072">
        <f t="shared" ref="BE266:BE329" si="47">IF((E266-273)&gt;0,IF((E266-273)/2&gt;30,30,(E266-273)/2),0)</f>
        <v>0</v>
      </c>
      <c r="BF266" s="1073">
        <f>BE266*('Ввод исходных данных'!$D$83-BC266)</f>
        <v>0</v>
      </c>
    </row>
    <row r="267" spans="2:58" ht="15.75" customHeight="1" x14ac:dyDescent="0.25">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5376</v>
      </c>
      <c r="J267" s="1059" t="str">
        <f t="shared" si="46"/>
        <v>5000-6000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51</v>
      </c>
      <c r="W267" s="1065">
        <v>2.2000000000000002</v>
      </c>
      <c r="X267" s="1065"/>
      <c r="Y267" s="1065">
        <f t="shared" ref="Y267:Y330" si="51">IF((E267-151)&gt;0,IF((E267-151)/2&gt;31,31,(E267-151)/2),0)</f>
        <v>31</v>
      </c>
      <c r="Z267" s="1065">
        <f>Y267*('Ввод исходных данных'!$D$83-W267)</f>
        <v>489.8</v>
      </c>
      <c r="AA267" s="1066">
        <v>-5.7</v>
      </c>
      <c r="AB267" s="1066"/>
      <c r="AC267" s="1066">
        <f t="shared" ref="AC267:AC330" si="52">IF((E267-90)/2&gt;30,30,(E267-90)/2)</f>
        <v>30</v>
      </c>
      <c r="AD267" s="1066">
        <f>AC267*('Ввод исходных данных'!$D$83-AA267)</f>
        <v>711</v>
      </c>
      <c r="AE267" s="1067">
        <v>-11.8</v>
      </c>
      <c r="AF267" s="1067"/>
      <c r="AG267" s="1067">
        <v>31</v>
      </c>
      <c r="AH267" s="1067">
        <f>AG267*('Ввод исходных данных'!$D$83-AE267)</f>
        <v>923.80000000000007</v>
      </c>
      <c r="AI267" s="1068">
        <v>-14.3</v>
      </c>
      <c r="AJ267" s="1068"/>
      <c r="AK267" s="1068">
        <v>31</v>
      </c>
      <c r="AL267" s="1068">
        <f>AK267*('Ввод исходных данных'!$D$83-AI267)</f>
        <v>1001.3</v>
      </c>
      <c r="AM267" s="1069">
        <v>-13.1</v>
      </c>
      <c r="AN267" s="1069"/>
      <c r="AO267" s="1069">
        <v>28</v>
      </c>
      <c r="AP267" s="1069">
        <f>AO267*('Ввод исходных данных'!$D$83-AM267)</f>
        <v>870.80000000000007</v>
      </c>
      <c r="AQ267" s="1064">
        <v>-5.8</v>
      </c>
      <c r="AR267" s="1064"/>
      <c r="AS267" s="1064">
        <f t="shared" ref="AS267:AS330" si="53">IF((E267-90)/2&gt;31,31,(E267-90)/2)</f>
        <v>31</v>
      </c>
      <c r="AT267" s="1064">
        <f>AS267*('Ввод исходных данных'!$D$83-AQ267)</f>
        <v>737.80000000000007</v>
      </c>
      <c r="AU267" s="1070">
        <v>3.4</v>
      </c>
      <c r="AV267" s="1070"/>
      <c r="AW267" s="1070">
        <f t="shared" ref="AW267:AW330" si="54">IF((E267-151)&gt;0,IF((E267-151)/2&gt;30,30,(E267-151)/2),0)</f>
        <v>30</v>
      </c>
      <c r="AX267" s="1070">
        <f>AW267*('Ввод исходных данных'!$D$83-AU267)</f>
        <v>438</v>
      </c>
      <c r="AY267" s="1071">
        <v>11.1</v>
      </c>
      <c r="AZ267" s="1071"/>
      <c r="BA267" s="1071">
        <f t="shared" ref="BA267:BA330" si="55">IF((E267-212)&gt;0,IF((E267-212)/2&gt;31,31,(E267-212)/2),0)</f>
        <v>6</v>
      </c>
      <c r="BB267" s="1071">
        <f>BA267*('Ввод исходных данных'!$D$83-AY267)</f>
        <v>41.400000000000006</v>
      </c>
      <c r="BC267" s="1072">
        <v>15.9</v>
      </c>
      <c r="BD267" s="1072"/>
      <c r="BE267" s="1072">
        <f t="shared" si="47"/>
        <v>0</v>
      </c>
      <c r="BF267" s="1073">
        <f>BE267*('Ввод исходных данных'!$D$83-BC267)</f>
        <v>0</v>
      </c>
    </row>
    <row r="268" spans="2:58" ht="15.75" customHeight="1" x14ac:dyDescent="0.25">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5124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436.6</v>
      </c>
      <c r="AA268" s="1066">
        <v>-5.0999999999999996</v>
      </c>
      <c r="AB268" s="1066"/>
      <c r="AC268" s="1066">
        <f t="shared" si="52"/>
        <v>30</v>
      </c>
      <c r="AD268" s="1066">
        <f>AC268*('Ввод исходных данных'!$D$83-AA268)</f>
        <v>693</v>
      </c>
      <c r="AE268" s="1067">
        <v>-11.8</v>
      </c>
      <c r="AF268" s="1067"/>
      <c r="AG268" s="1067">
        <v>31</v>
      </c>
      <c r="AH268" s="1067">
        <f>AG268*('Ввод исходных данных'!$D$83-AE268)</f>
        <v>923.80000000000007</v>
      </c>
      <c r="AI268" s="1068">
        <v>-15.5</v>
      </c>
      <c r="AJ268" s="1068"/>
      <c r="AK268" s="1068">
        <v>31</v>
      </c>
      <c r="AL268" s="1068">
        <f>AK268*('Ввод исходных данных'!$D$83-AI268)</f>
        <v>1038.5</v>
      </c>
      <c r="AM268" s="1069">
        <v>-14.4</v>
      </c>
      <c r="AN268" s="1069"/>
      <c r="AO268" s="1069">
        <v>28</v>
      </c>
      <c r="AP268" s="1069">
        <f>AO268*('Ввод исходных данных'!$D$83-AM268)</f>
        <v>907.19999999999993</v>
      </c>
      <c r="AQ268" s="1064">
        <v>-7.5</v>
      </c>
      <c r="AR268" s="1064"/>
      <c r="AS268" s="1064">
        <f t="shared" si="53"/>
        <v>31</v>
      </c>
      <c r="AT268" s="1064">
        <f>AS268*('Ввод исходных данных'!$D$83-AQ268)</f>
        <v>790.5</v>
      </c>
      <c r="AU268" s="1070">
        <v>4.5999999999999996</v>
      </c>
      <c r="AV268" s="1070"/>
      <c r="AW268" s="1070">
        <f t="shared" si="54"/>
        <v>29.5</v>
      </c>
      <c r="AX268" s="1070">
        <f>AW268*('Ввод исходных данных'!$D$83-AU268)</f>
        <v>395.3</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25">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5016</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411.79999999999995</v>
      </c>
      <c r="AA269" s="1066">
        <v>-4</v>
      </c>
      <c r="AB269" s="1066"/>
      <c r="AC269" s="1066">
        <f t="shared" si="52"/>
        <v>30</v>
      </c>
      <c r="AD269" s="1066">
        <f>AC269*('Ввод исходных данных'!$D$83-AA269)</f>
        <v>660</v>
      </c>
      <c r="AE269" s="1067">
        <v>-11</v>
      </c>
      <c r="AF269" s="1067"/>
      <c r="AG269" s="1067">
        <v>31</v>
      </c>
      <c r="AH269" s="1067">
        <f>AG269*('Ввод исходных данных'!$D$83-AE269)</f>
        <v>899</v>
      </c>
      <c r="AI269" s="1068">
        <v>-13.8</v>
      </c>
      <c r="AJ269" s="1068"/>
      <c r="AK269" s="1068">
        <v>31</v>
      </c>
      <c r="AL269" s="1068">
        <f>AK269*('Ввод исходных данных'!$D$83-AI269)</f>
        <v>985.80000000000007</v>
      </c>
      <c r="AM269" s="1069">
        <v>-12.7</v>
      </c>
      <c r="AN269" s="1069"/>
      <c r="AO269" s="1069">
        <v>28</v>
      </c>
      <c r="AP269" s="1069">
        <f>AO269*('Ввод исходных данных'!$D$83-AM269)</f>
        <v>859.6</v>
      </c>
      <c r="AQ269" s="1064">
        <v>-5.4</v>
      </c>
      <c r="AR269" s="1064"/>
      <c r="AS269" s="1064">
        <f t="shared" si="53"/>
        <v>31</v>
      </c>
      <c r="AT269" s="1064">
        <f>AS269*('Ввод исходных данных'!$D$83-AQ269)</f>
        <v>725.4</v>
      </c>
      <c r="AU269" s="1070">
        <v>5.2</v>
      </c>
      <c r="AV269" s="1070"/>
      <c r="AW269" s="1070">
        <f t="shared" si="54"/>
        <v>29</v>
      </c>
      <c r="AX269" s="1070">
        <f>AW269*('Ввод исходных данных'!$D$83-AU269)</f>
        <v>371.20000000000005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25">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5253.8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23.099999999999998</v>
      </c>
      <c r="W270" s="1065">
        <v>3</v>
      </c>
      <c r="X270" s="1065"/>
      <c r="Y270" s="1065">
        <f t="shared" si="51"/>
        <v>31</v>
      </c>
      <c r="Z270" s="1065">
        <f>Y270*('Ввод исходных данных'!$D$83-W270)</f>
        <v>465</v>
      </c>
      <c r="AA270" s="1066">
        <v>-4.8</v>
      </c>
      <c r="AB270" s="1066"/>
      <c r="AC270" s="1066">
        <f t="shared" si="52"/>
        <v>30</v>
      </c>
      <c r="AD270" s="1066">
        <f>AC270*('Ввод исходных данных'!$D$83-AA270)</f>
        <v>684</v>
      </c>
      <c r="AE270" s="1067">
        <v>-11.3</v>
      </c>
      <c r="AF270" s="1067"/>
      <c r="AG270" s="1067">
        <v>31</v>
      </c>
      <c r="AH270" s="1067">
        <f>AG270*('Ввод исходных данных'!$D$83-AE270)</f>
        <v>908.30000000000007</v>
      </c>
      <c r="AI270" s="1068">
        <v>-14.2</v>
      </c>
      <c r="AJ270" s="1068"/>
      <c r="AK270" s="1068">
        <v>31</v>
      </c>
      <c r="AL270" s="1068">
        <f>AK270*('Ввод исходных данных'!$D$83-AI270)</f>
        <v>998.2</v>
      </c>
      <c r="AM270" s="1069">
        <v>-13.5</v>
      </c>
      <c r="AN270" s="1069"/>
      <c r="AO270" s="1069">
        <v>28</v>
      </c>
      <c r="AP270" s="1069">
        <f>AO270*('Ввод исходных данных'!$D$83-AM270)</f>
        <v>882</v>
      </c>
      <c r="AQ270" s="1064">
        <v>-6.3</v>
      </c>
      <c r="AR270" s="1064"/>
      <c r="AS270" s="1064">
        <f t="shared" si="53"/>
        <v>31</v>
      </c>
      <c r="AT270" s="1064">
        <f>AS270*('Ввод исходных данных'!$D$83-AQ270)</f>
        <v>753.30000000000007</v>
      </c>
      <c r="AU270" s="1070">
        <v>3.5</v>
      </c>
      <c r="AV270" s="1070"/>
      <c r="AW270" s="1070">
        <f t="shared" si="54"/>
        <v>30</v>
      </c>
      <c r="AX270" s="1070">
        <f>AW270*('Ввод исходных данных'!$D$83-AU270)</f>
        <v>435</v>
      </c>
      <c r="AY270" s="1071">
        <v>11.9</v>
      </c>
      <c r="AZ270" s="1071"/>
      <c r="BA270" s="1071">
        <f t="shared" si="55"/>
        <v>3</v>
      </c>
      <c r="BB270" s="1071">
        <f>BA270*('Ввод исходных данных'!$D$83-AY270)</f>
        <v>18.299999999999997</v>
      </c>
      <c r="BC270" s="1072">
        <v>16.7</v>
      </c>
      <c r="BD270" s="1072"/>
      <c r="BE270" s="1072">
        <f t="shared" si="47"/>
        <v>0</v>
      </c>
      <c r="BF270" s="1073">
        <f>BE270*('Ввод исходных данных'!$D$83-BC270)</f>
        <v>0</v>
      </c>
    </row>
    <row r="271" spans="2:58" ht="15.75" customHeight="1" x14ac:dyDescent="0.25">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5875</v>
      </c>
      <c r="J271" s="1059" t="str">
        <f t="shared" si="46"/>
        <v>5000-6000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169.1</v>
      </c>
      <c r="W271" s="1065">
        <v>2.7</v>
      </c>
      <c r="X271" s="1065"/>
      <c r="Y271" s="1065">
        <f t="shared" si="51"/>
        <v>31</v>
      </c>
      <c r="Z271" s="1065">
        <f>Y271*('Ввод исходных данных'!$D$83-W271)</f>
        <v>474.3</v>
      </c>
      <c r="AA271" s="1066">
        <v>-4.3</v>
      </c>
      <c r="AB271" s="1066"/>
      <c r="AC271" s="1066">
        <f t="shared" si="52"/>
        <v>30</v>
      </c>
      <c r="AD271" s="1066">
        <f>AC271*('Ввод исходных данных'!$D$83-AA271)</f>
        <v>669</v>
      </c>
      <c r="AE271" s="1067">
        <v>-9.3000000000000007</v>
      </c>
      <c r="AF271" s="1067"/>
      <c r="AG271" s="1067">
        <v>31</v>
      </c>
      <c r="AH271" s="1067">
        <f>AG271*('Ввод исходных данных'!$D$83-AE271)</f>
        <v>846.30000000000007</v>
      </c>
      <c r="AI271" s="1068">
        <v>-15.5</v>
      </c>
      <c r="AJ271" s="1068"/>
      <c r="AK271" s="1068">
        <v>31</v>
      </c>
      <c r="AL271" s="1068">
        <f>AK271*('Ввод исходных данных'!$D$83-AI271)</f>
        <v>1038.5</v>
      </c>
      <c r="AM271" s="1069">
        <v>-16</v>
      </c>
      <c r="AN271" s="1069"/>
      <c r="AO271" s="1069">
        <v>28</v>
      </c>
      <c r="AP271" s="1069">
        <f>AO271*('Ввод исходных данных'!$D$83-AM271)</f>
        <v>952</v>
      </c>
      <c r="AQ271" s="1064">
        <v>-8.9</v>
      </c>
      <c r="AR271" s="1064"/>
      <c r="AS271" s="1064">
        <f t="shared" si="53"/>
        <v>31</v>
      </c>
      <c r="AT271" s="1064">
        <f>AS271*('Ввод исходных данных'!$D$83-AQ271)</f>
        <v>833.9</v>
      </c>
      <c r="AU271" s="1070">
        <v>-0.5</v>
      </c>
      <c r="AV271" s="1070"/>
      <c r="AW271" s="1070">
        <f t="shared" si="54"/>
        <v>30</v>
      </c>
      <c r="AX271" s="1070">
        <f>AW271*('Ввод исходных данных'!$D$83-AU271)</f>
        <v>555</v>
      </c>
      <c r="AY271" s="1071">
        <v>6</v>
      </c>
      <c r="AZ271" s="1071"/>
      <c r="BA271" s="1071">
        <f t="shared" si="55"/>
        <v>19</v>
      </c>
      <c r="BB271" s="1071">
        <f>BA271*('Ввод исходных данных'!$D$83-AY271)</f>
        <v>228</v>
      </c>
      <c r="BC271" s="1072">
        <v>11</v>
      </c>
      <c r="BD271" s="1072"/>
      <c r="BE271" s="1072">
        <f t="shared" si="47"/>
        <v>0</v>
      </c>
      <c r="BF271" s="1073">
        <f>BE271*('Ввод исходных данных'!$D$83-BC271)</f>
        <v>0</v>
      </c>
    </row>
    <row r="272" spans="2:58" ht="15.75" customHeight="1" x14ac:dyDescent="0.25">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8195.4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308.7</v>
      </c>
      <c r="W272" s="1065">
        <v>-4.9000000000000004</v>
      </c>
      <c r="X272" s="1065"/>
      <c r="Y272" s="1065">
        <f t="shared" si="51"/>
        <v>31</v>
      </c>
      <c r="Z272" s="1065">
        <f>Y272*('Ввод исходных данных'!$D$83-W272)</f>
        <v>709.9</v>
      </c>
      <c r="AA272" s="1066">
        <v>-18</v>
      </c>
      <c r="AB272" s="1066"/>
      <c r="AC272" s="1066">
        <f t="shared" si="52"/>
        <v>30</v>
      </c>
      <c r="AD272" s="1066">
        <f>AC272*('Ввод исходных данных'!$D$83-AA272)</f>
        <v>1080</v>
      </c>
      <c r="AE272" s="1067">
        <v>-27</v>
      </c>
      <c r="AF272" s="1067"/>
      <c r="AG272" s="1067">
        <v>31</v>
      </c>
      <c r="AH272" s="1067">
        <f>AG272*('Ввод исходных данных'!$D$83-AE272)</f>
        <v>1395</v>
      </c>
      <c r="AI272" s="1068">
        <v>-28.6</v>
      </c>
      <c r="AJ272" s="1068"/>
      <c r="AK272" s="1068">
        <v>31</v>
      </c>
      <c r="AL272" s="1068">
        <f>AK272*('Ввод исходных данных'!$D$83-AI272)</f>
        <v>1444.6000000000001</v>
      </c>
      <c r="AM272" s="1069">
        <v>-23.8</v>
      </c>
      <c r="AN272" s="1069"/>
      <c r="AO272" s="1069">
        <v>28</v>
      </c>
      <c r="AP272" s="1069">
        <f>AO272*('Ввод исходных данных'!$D$83-AM272)</f>
        <v>1170.3999999999999</v>
      </c>
      <c r="AQ272" s="1064">
        <v>-14.3</v>
      </c>
      <c r="AR272" s="1064"/>
      <c r="AS272" s="1064">
        <f t="shared" si="53"/>
        <v>31</v>
      </c>
      <c r="AT272" s="1064">
        <f>AS272*('Ввод исходных данных'!$D$83-AQ272)</f>
        <v>1001.3</v>
      </c>
      <c r="AU272" s="1070">
        <v>-2.9</v>
      </c>
      <c r="AV272" s="1070"/>
      <c r="AW272" s="1070">
        <f t="shared" si="54"/>
        <v>30</v>
      </c>
      <c r="AX272" s="1070">
        <f>AW272*('Ввод исходных данных'!$D$83-AU272)</f>
        <v>627</v>
      </c>
      <c r="AY272" s="1071">
        <v>6</v>
      </c>
      <c r="AZ272" s="1071"/>
      <c r="BA272" s="1071">
        <f t="shared" si="55"/>
        <v>24.5</v>
      </c>
      <c r="BB272" s="1071">
        <f>BA272*('Ввод исходных данных'!$D$83-AY272)</f>
        <v>294</v>
      </c>
      <c r="BC272" s="1072">
        <v>13</v>
      </c>
      <c r="BD272" s="1072"/>
      <c r="BE272" s="1072">
        <f t="shared" si="47"/>
        <v>0</v>
      </c>
      <c r="BF272" s="1073">
        <f>BE272*('Ввод исходных данных'!$D$83-BC272)</f>
        <v>0</v>
      </c>
    </row>
    <row r="273" spans="2:58" ht="15.75" customHeight="1" x14ac:dyDescent="0.25">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7128</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131.6</v>
      </c>
      <c r="W273" s="1065">
        <v>-0.5</v>
      </c>
      <c r="X273" s="1065"/>
      <c r="Y273" s="1065">
        <f t="shared" si="51"/>
        <v>31</v>
      </c>
      <c r="Z273" s="1065">
        <f>Y273*('Ввод исходных данных'!$D$83-W273)</f>
        <v>573.5</v>
      </c>
      <c r="AA273" s="1066">
        <v>-12</v>
      </c>
      <c r="AB273" s="1066"/>
      <c r="AC273" s="1066">
        <f t="shared" si="52"/>
        <v>30</v>
      </c>
      <c r="AD273" s="1066">
        <f>AC273*('Ввод исходных данных'!$D$83-AA273)</f>
        <v>900</v>
      </c>
      <c r="AE273" s="1067">
        <v>-22.2</v>
      </c>
      <c r="AF273" s="1067"/>
      <c r="AG273" s="1067">
        <v>31</v>
      </c>
      <c r="AH273" s="1067">
        <f>AG273*('Ввод исходных данных'!$D$83-AE273)</f>
        <v>1246.2</v>
      </c>
      <c r="AI273" s="1068">
        <v>-27.4</v>
      </c>
      <c r="AJ273" s="1068"/>
      <c r="AK273" s="1068">
        <v>31</v>
      </c>
      <c r="AL273" s="1068">
        <f>AK273*('Ввод исходных данных'!$D$83-AI273)</f>
        <v>1407.3999999999999</v>
      </c>
      <c r="AM273" s="1069">
        <v>-22.6</v>
      </c>
      <c r="AN273" s="1069"/>
      <c r="AO273" s="1069">
        <v>28</v>
      </c>
      <c r="AP273" s="1069">
        <f>AO273*('Ввод исходных данных'!$D$83-AM273)</f>
        <v>1136.8</v>
      </c>
      <c r="AQ273" s="1064">
        <v>-10.9</v>
      </c>
      <c r="AR273" s="1064"/>
      <c r="AS273" s="1064">
        <f t="shared" si="53"/>
        <v>31</v>
      </c>
      <c r="AT273" s="1064">
        <f>AS273*('Ввод исходных данных'!$D$83-AQ273)</f>
        <v>895.9</v>
      </c>
      <c r="AU273" s="1070">
        <v>0.2</v>
      </c>
      <c r="AV273" s="1070"/>
      <c r="AW273" s="1070">
        <f t="shared" si="54"/>
        <v>30</v>
      </c>
      <c r="AX273" s="1070">
        <f>AW273*('Ввод исходных данных'!$D$83-AU273)</f>
        <v>534</v>
      </c>
      <c r="AY273" s="1071">
        <v>8.5</v>
      </c>
      <c r="AZ273" s="1071"/>
      <c r="BA273" s="1071">
        <f t="shared" si="55"/>
        <v>14</v>
      </c>
      <c r="BB273" s="1071">
        <f>BA273*('Ввод исходных данных'!$D$83-AY273)</f>
        <v>133</v>
      </c>
      <c r="BC273" s="1072">
        <v>15.5</v>
      </c>
      <c r="BD273" s="1072"/>
      <c r="BE273" s="1072">
        <f t="shared" si="47"/>
        <v>0</v>
      </c>
      <c r="BF273" s="1073">
        <f>BE273*('Ввод исходных данных'!$D$83-BC273)</f>
        <v>0</v>
      </c>
    </row>
    <row r="274" spans="2:58" ht="15.75" customHeight="1" x14ac:dyDescent="0.25">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6114.3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72.25</v>
      </c>
      <c r="W274" s="1065">
        <v>0.9</v>
      </c>
      <c r="X274" s="1065"/>
      <c r="Y274" s="1065">
        <f t="shared" si="51"/>
        <v>31</v>
      </c>
      <c r="Z274" s="1065">
        <f>Y274*('Ввод исходных данных'!$D$83-W274)</f>
        <v>530.1</v>
      </c>
      <c r="AA274" s="1066">
        <v>-9.4</v>
      </c>
      <c r="AB274" s="1066"/>
      <c r="AC274" s="1066">
        <f t="shared" si="52"/>
        <v>30</v>
      </c>
      <c r="AD274" s="1066">
        <f>AC274*('Ввод исходных данных'!$D$83-AA274)</f>
        <v>822</v>
      </c>
      <c r="AE274" s="1067">
        <v>-17.600000000000001</v>
      </c>
      <c r="AF274" s="1067"/>
      <c r="AG274" s="1067">
        <v>31</v>
      </c>
      <c r="AH274" s="1067">
        <f>AG274*('Ввод исходных данных'!$D$83-AE274)</f>
        <v>1103.6000000000001</v>
      </c>
      <c r="AI274" s="1068">
        <v>-20.5</v>
      </c>
      <c r="AJ274" s="1068"/>
      <c r="AK274" s="1068">
        <v>31</v>
      </c>
      <c r="AL274" s="1068">
        <f>AK274*('Ввод исходных данных'!$D$83-AI274)</f>
        <v>1193.5</v>
      </c>
      <c r="AM274" s="1069">
        <v>-16.3</v>
      </c>
      <c r="AN274" s="1069"/>
      <c r="AO274" s="1069">
        <v>28</v>
      </c>
      <c r="AP274" s="1069">
        <f>AO274*('Ввод исходных данных'!$D$83-AM274)</f>
        <v>960.39999999999986</v>
      </c>
      <c r="AQ274" s="1064">
        <v>-6.9</v>
      </c>
      <c r="AR274" s="1064"/>
      <c r="AS274" s="1064">
        <f t="shared" si="53"/>
        <v>31</v>
      </c>
      <c r="AT274" s="1064">
        <f>AS274*('Ввод исходных данных'!$D$83-AQ274)</f>
        <v>771.9</v>
      </c>
      <c r="AU274" s="1070">
        <v>2.6</v>
      </c>
      <c r="AV274" s="1070"/>
      <c r="AW274" s="1070">
        <f t="shared" si="54"/>
        <v>30</v>
      </c>
      <c r="AX274" s="1070">
        <f>AW274*('Ввод исходных данных'!$D$83-AU274)</f>
        <v>462</v>
      </c>
      <c r="AY274" s="1071">
        <v>10.4</v>
      </c>
      <c r="AZ274" s="1071"/>
      <c r="BA274" s="1071">
        <f t="shared" si="55"/>
        <v>8.5</v>
      </c>
      <c r="BB274" s="1071">
        <f>BA274*('Ввод исходных данных'!$D$83-AY274)</f>
        <v>64.599999999999994</v>
      </c>
      <c r="BC274" s="1072">
        <v>16.600000000000001</v>
      </c>
      <c r="BD274" s="1072"/>
      <c r="BE274" s="1072">
        <f t="shared" si="47"/>
        <v>0</v>
      </c>
      <c r="BF274" s="1073">
        <f>BE274*('Ввод исходных данных'!$D$83-BC274)</f>
        <v>0</v>
      </c>
    </row>
    <row r="275" spans="2:58" ht="15.75" customHeight="1" x14ac:dyDescent="0.25">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6942.6</v>
      </c>
      <c r="J275" s="1059" t="str">
        <f t="shared" si="46"/>
        <v>6000-7000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337.5</v>
      </c>
      <c r="W275" s="1065">
        <v>-2.2000000000000002</v>
      </c>
      <c r="X275" s="1065"/>
      <c r="Y275" s="1065">
        <f t="shared" si="51"/>
        <v>31</v>
      </c>
      <c r="Z275" s="1065">
        <f>Y275*('Ввод исходных данных'!$D$83-W275)</f>
        <v>626.19999999999993</v>
      </c>
      <c r="AA275" s="1066">
        <v>-11.8</v>
      </c>
      <c r="AB275" s="1066"/>
      <c r="AC275" s="1066">
        <f t="shared" si="52"/>
        <v>30</v>
      </c>
      <c r="AD275" s="1066">
        <f>AC275*('Ввод исходных данных'!$D$83-AA275)</f>
        <v>894</v>
      </c>
      <c r="AE275" s="1067">
        <v>-18.2</v>
      </c>
      <c r="AF275" s="1067"/>
      <c r="AG275" s="1067">
        <v>31</v>
      </c>
      <c r="AH275" s="1067">
        <f>AG275*('Ввод исходных данных'!$D$83-AE275)</f>
        <v>1122.2</v>
      </c>
      <c r="AI275" s="1068">
        <v>-19.899999999999999</v>
      </c>
      <c r="AJ275" s="1068"/>
      <c r="AK275" s="1068">
        <v>31</v>
      </c>
      <c r="AL275" s="1068">
        <f>AK275*('Ввод исходных данных'!$D$83-AI275)</f>
        <v>1174.8999999999999</v>
      </c>
      <c r="AM275" s="1069">
        <v>-17.600000000000001</v>
      </c>
      <c r="AN275" s="1069"/>
      <c r="AO275" s="1069">
        <v>28</v>
      </c>
      <c r="AP275" s="1069">
        <f>AO275*('Ввод исходных данных'!$D$83-AM275)</f>
        <v>996.80000000000007</v>
      </c>
      <c r="AQ275" s="1064">
        <v>-10.1</v>
      </c>
      <c r="AR275" s="1064"/>
      <c r="AS275" s="1064">
        <f t="shared" si="53"/>
        <v>31</v>
      </c>
      <c r="AT275" s="1064">
        <f>AS275*('Ввод исходных данных'!$D$83-AQ275)</f>
        <v>871.1</v>
      </c>
      <c r="AU275" s="1070">
        <v>-1.8</v>
      </c>
      <c r="AV275" s="1070"/>
      <c r="AW275" s="1070">
        <f t="shared" si="54"/>
        <v>30</v>
      </c>
      <c r="AX275" s="1070">
        <f>AW275*('Ввод исходных данных'!$D$83-AU275)</f>
        <v>594</v>
      </c>
      <c r="AY275" s="1071">
        <v>5.6</v>
      </c>
      <c r="AZ275" s="1071"/>
      <c r="BA275" s="1071">
        <f t="shared" si="55"/>
        <v>27</v>
      </c>
      <c r="BB275" s="1071">
        <f>BA275*('Ввод исходных данных'!$D$83-AY275)</f>
        <v>334.8</v>
      </c>
      <c r="BC275" s="1072">
        <v>12.1</v>
      </c>
      <c r="BD275" s="1072"/>
      <c r="BE275" s="1072">
        <f t="shared" si="47"/>
        <v>0</v>
      </c>
      <c r="BF275" s="1073">
        <f>BE275*('Ввод исходных данных'!$D$83-BC275)</f>
        <v>0</v>
      </c>
    </row>
    <row r="276" spans="2:58" ht="15.75" customHeight="1" x14ac:dyDescent="0.25">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7038</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208.54999999999998</v>
      </c>
      <c r="W276" s="1065">
        <v>-0.6</v>
      </c>
      <c r="X276" s="1065"/>
      <c r="Y276" s="1065">
        <f t="shared" si="51"/>
        <v>31</v>
      </c>
      <c r="Z276" s="1065">
        <f>Y276*('Ввод исходных данных'!$D$83-W276)</f>
        <v>576.6</v>
      </c>
      <c r="AA276" s="1066">
        <v>-10.7</v>
      </c>
      <c r="AB276" s="1066"/>
      <c r="AC276" s="1066">
        <f t="shared" si="52"/>
        <v>30</v>
      </c>
      <c r="AD276" s="1066">
        <f>AC276*('Ввод исходных данных'!$D$83-AA276)</f>
        <v>861</v>
      </c>
      <c r="AE276" s="1067">
        <v>-17.3</v>
      </c>
      <c r="AF276" s="1067"/>
      <c r="AG276" s="1067">
        <v>31</v>
      </c>
      <c r="AH276" s="1067">
        <f>AG276*('Ввод исходных данных'!$D$83-AE276)</f>
        <v>1094.3</v>
      </c>
      <c r="AI276" s="1068">
        <v>-21.9</v>
      </c>
      <c r="AJ276" s="1068"/>
      <c r="AK276" s="1068">
        <v>31</v>
      </c>
      <c r="AL276" s="1068">
        <f>AK276*('Ввод исходных данных'!$D$83-AI276)</f>
        <v>1236.8999999999999</v>
      </c>
      <c r="AM276" s="1069">
        <v>-20.3</v>
      </c>
      <c r="AN276" s="1069"/>
      <c r="AO276" s="1069">
        <v>28</v>
      </c>
      <c r="AP276" s="1069">
        <f>AO276*('Ввод исходных данных'!$D$83-AM276)</f>
        <v>1072.3999999999999</v>
      </c>
      <c r="AQ276" s="1064">
        <v>-12.5</v>
      </c>
      <c r="AR276" s="1064"/>
      <c r="AS276" s="1064">
        <f t="shared" si="53"/>
        <v>31</v>
      </c>
      <c r="AT276" s="1064">
        <f>AS276*('Ввод исходных данных'!$D$83-AQ276)</f>
        <v>945.5</v>
      </c>
      <c r="AU276" s="1070">
        <v>-2.5</v>
      </c>
      <c r="AV276" s="1070"/>
      <c r="AW276" s="1070">
        <f t="shared" si="54"/>
        <v>30</v>
      </c>
      <c r="AX276" s="1070">
        <f>AW276*('Ввод исходных данных'!$D$83-AU276)</f>
        <v>615</v>
      </c>
      <c r="AY276" s="1071">
        <v>5.0999999999999996</v>
      </c>
      <c r="AZ276" s="1071"/>
      <c r="BA276" s="1071">
        <f t="shared" si="55"/>
        <v>21.5</v>
      </c>
      <c r="BB276" s="1071">
        <f>BA276*('Ввод исходных данных'!$D$83-AY276)</f>
        <v>277.35000000000002</v>
      </c>
      <c r="BC276" s="1072">
        <v>12.1</v>
      </c>
      <c r="BD276" s="1072"/>
      <c r="BE276" s="1072">
        <f t="shared" si="47"/>
        <v>0</v>
      </c>
      <c r="BF276" s="1073">
        <f>BE276*('Ввод исходных данных'!$D$83-BC276)</f>
        <v>0</v>
      </c>
    </row>
    <row r="277" spans="2:58" ht="15.75" customHeight="1" x14ac:dyDescent="0.25">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7353</v>
      </c>
      <c r="J277" s="1059" t="str">
        <f t="shared" si="46"/>
        <v>7000-8000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257.59999999999997</v>
      </c>
      <c r="W277" s="1065">
        <v>-2.2000000000000002</v>
      </c>
      <c r="X277" s="1065"/>
      <c r="Y277" s="1065">
        <f t="shared" si="51"/>
        <v>31</v>
      </c>
      <c r="Z277" s="1065">
        <f>Y277*('Ввод исходных данных'!$D$83-W277)</f>
        <v>626.19999999999993</v>
      </c>
      <c r="AA277" s="1066">
        <v>-12.9</v>
      </c>
      <c r="AB277" s="1066"/>
      <c r="AC277" s="1066">
        <f t="shared" si="52"/>
        <v>30</v>
      </c>
      <c r="AD277" s="1066">
        <f>AC277*('Ввод исходных данных'!$D$83-AA277)</f>
        <v>927</v>
      </c>
      <c r="AE277" s="1067">
        <v>-20.6</v>
      </c>
      <c r="AF277" s="1067"/>
      <c r="AG277" s="1067">
        <v>31</v>
      </c>
      <c r="AH277" s="1067">
        <f>AG277*('Ввод исходных данных'!$D$83-AE277)</f>
        <v>1196.6000000000001</v>
      </c>
      <c r="AI277" s="1068">
        <v>-24</v>
      </c>
      <c r="AJ277" s="1068"/>
      <c r="AK277" s="1068">
        <v>31</v>
      </c>
      <c r="AL277" s="1068">
        <f>AK277*('Ввод исходных данных'!$D$83-AI277)</f>
        <v>1302</v>
      </c>
      <c r="AM277" s="1069">
        <v>-20.2</v>
      </c>
      <c r="AN277" s="1069"/>
      <c r="AO277" s="1069">
        <v>28</v>
      </c>
      <c r="AP277" s="1069">
        <f>AO277*('Ввод исходных данных'!$D$83-AM277)</f>
        <v>1069.6000000000001</v>
      </c>
      <c r="AQ277" s="1064">
        <v>-12.1</v>
      </c>
      <c r="AR277" s="1064"/>
      <c r="AS277" s="1064">
        <f t="shared" si="53"/>
        <v>31</v>
      </c>
      <c r="AT277" s="1064">
        <f>AS277*('Ввод исходных данных'!$D$83-AQ277)</f>
        <v>933.1</v>
      </c>
      <c r="AU277" s="1070">
        <v>-2.2000000000000002</v>
      </c>
      <c r="AV277" s="1070"/>
      <c r="AW277" s="1070">
        <f t="shared" si="54"/>
        <v>30</v>
      </c>
      <c r="AX277" s="1070">
        <f>AW277*('Ввод исходных данных'!$D$83-AU277)</f>
        <v>606</v>
      </c>
      <c r="AY277" s="1071">
        <v>5.4</v>
      </c>
      <c r="AZ277" s="1071"/>
      <c r="BA277" s="1071">
        <f t="shared" si="55"/>
        <v>23</v>
      </c>
      <c r="BB277" s="1071">
        <f>BA277*('Ввод исходных данных'!$D$83-AY277)</f>
        <v>289.8</v>
      </c>
      <c r="BC277" s="1072">
        <v>14</v>
      </c>
      <c r="BD277" s="1072"/>
      <c r="BE277" s="1072">
        <f t="shared" si="47"/>
        <v>0</v>
      </c>
      <c r="BF277" s="1073">
        <f>BE277*('Ввод исходных данных'!$D$83-BC277)</f>
        <v>0</v>
      </c>
    </row>
    <row r="278" spans="2:58" ht="15.75" customHeight="1" x14ac:dyDescent="0.25">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8411.7999999999993</v>
      </c>
      <c r="J278" s="1059" t="str">
        <f t="shared" si="46"/>
        <v>8000-9000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3.0999999999999996</v>
      </c>
      <c r="S278" s="1064">
        <v>4.7</v>
      </c>
      <c r="T278" s="1064"/>
      <c r="U278" s="1064">
        <f t="shared" si="50"/>
        <v>30</v>
      </c>
      <c r="V278" s="1064">
        <f>U278*('Ввод исходных данных'!$D$83-S278)</f>
        <v>399</v>
      </c>
      <c r="W278" s="1065">
        <v>-6</v>
      </c>
      <c r="X278" s="1065"/>
      <c r="Y278" s="1065">
        <f t="shared" si="51"/>
        <v>31</v>
      </c>
      <c r="Z278" s="1065">
        <f>Y278*('Ввод исходных данных'!$D$83-W278)</f>
        <v>744</v>
      </c>
      <c r="AA278" s="1066">
        <v>-18.7</v>
      </c>
      <c r="AB278" s="1066"/>
      <c r="AC278" s="1066">
        <f t="shared" si="52"/>
        <v>30</v>
      </c>
      <c r="AD278" s="1066">
        <f>AC278*('Ввод исходных данных'!$D$83-AA278)</f>
        <v>1101</v>
      </c>
      <c r="AE278" s="1067">
        <v>-26.5</v>
      </c>
      <c r="AF278" s="1067"/>
      <c r="AG278" s="1067">
        <v>31</v>
      </c>
      <c r="AH278" s="1067">
        <f>AG278*('Ввод исходных данных'!$D$83-AE278)</f>
        <v>1379.5</v>
      </c>
      <c r="AI278" s="1068">
        <v>-28.3</v>
      </c>
      <c r="AJ278" s="1068"/>
      <c r="AK278" s="1068">
        <v>31</v>
      </c>
      <c r="AL278" s="1068">
        <f>AK278*('Ввод исходных данных'!$D$83-AI278)</f>
        <v>1435.3</v>
      </c>
      <c r="AM278" s="1069">
        <v>-24.5</v>
      </c>
      <c r="AN278" s="1069"/>
      <c r="AO278" s="1069">
        <v>28</v>
      </c>
      <c r="AP278" s="1069">
        <f>AO278*('Ввод исходных данных'!$D$83-AM278)</f>
        <v>1190</v>
      </c>
      <c r="AQ278" s="1064">
        <v>-15.7</v>
      </c>
      <c r="AR278" s="1064"/>
      <c r="AS278" s="1064">
        <f t="shared" si="53"/>
        <v>31</v>
      </c>
      <c r="AT278" s="1064">
        <f>AS278*('Ввод исходных данных'!$D$83-AQ278)</f>
        <v>1044.7</v>
      </c>
      <c r="AU278" s="1070">
        <v>-5.2</v>
      </c>
      <c r="AV278" s="1070"/>
      <c r="AW278" s="1070">
        <f t="shared" si="54"/>
        <v>30</v>
      </c>
      <c r="AX278" s="1070">
        <f>AW278*('Ввод исходных данных'!$D$83-AU278)</f>
        <v>696</v>
      </c>
      <c r="AY278" s="1071">
        <v>3.5</v>
      </c>
      <c r="AZ278" s="1071"/>
      <c r="BA278" s="1071">
        <f t="shared" si="55"/>
        <v>31</v>
      </c>
      <c r="BB278" s="1071">
        <f>BA278*('Ввод исходных данных'!$D$83-AY278)</f>
        <v>449.5</v>
      </c>
      <c r="BC278" s="1072">
        <v>11.6</v>
      </c>
      <c r="BD278" s="1072"/>
      <c r="BE278" s="1072">
        <f t="shared" si="47"/>
        <v>0.5</v>
      </c>
      <c r="BF278" s="1073">
        <f>BE278*('Ввод исходных данных'!$D$83-BC278)</f>
        <v>3.2</v>
      </c>
    </row>
    <row r="279" spans="2:58" ht="15.75" customHeight="1" x14ac:dyDescent="0.25">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6509</v>
      </c>
      <c r="J279" s="1059" t="str">
        <f t="shared" si="46"/>
        <v>6000-7000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77.399999999999991</v>
      </c>
      <c r="W279" s="1065">
        <v>0.4</v>
      </c>
      <c r="X279" s="1065"/>
      <c r="Y279" s="1065">
        <f t="shared" si="51"/>
        <v>31</v>
      </c>
      <c r="Z279" s="1065">
        <f>Y279*('Ввод исходных данных'!$D$83-W279)</f>
        <v>545.6</v>
      </c>
      <c r="AA279" s="1066">
        <v>-10.5</v>
      </c>
      <c r="AB279" s="1066"/>
      <c r="AC279" s="1066">
        <f t="shared" si="52"/>
        <v>30</v>
      </c>
      <c r="AD279" s="1066">
        <f>AC279*('Ввод исходных данных'!$D$83-AA279)</f>
        <v>855</v>
      </c>
      <c r="AE279" s="1067">
        <v>-19.7</v>
      </c>
      <c r="AF279" s="1067"/>
      <c r="AG279" s="1067">
        <v>31</v>
      </c>
      <c r="AH279" s="1067">
        <f>AG279*('Ввод исходных данных'!$D$83-AE279)</f>
        <v>1168.7</v>
      </c>
      <c r="AI279" s="1068">
        <v>-23.8</v>
      </c>
      <c r="AJ279" s="1068"/>
      <c r="AK279" s="1068">
        <v>31</v>
      </c>
      <c r="AL279" s="1068">
        <f>AK279*('Ввод исходных данных'!$D$83-AI279)</f>
        <v>1295.8</v>
      </c>
      <c r="AM279" s="1069">
        <v>-19</v>
      </c>
      <c r="AN279" s="1069"/>
      <c r="AO279" s="1069">
        <v>28</v>
      </c>
      <c r="AP279" s="1069">
        <f>AO279*('Ввод исходных данных'!$D$83-AM279)</f>
        <v>1036</v>
      </c>
      <c r="AQ279" s="1064">
        <v>-8</v>
      </c>
      <c r="AR279" s="1064"/>
      <c r="AS279" s="1064">
        <f t="shared" si="53"/>
        <v>31</v>
      </c>
      <c r="AT279" s="1064">
        <f>AS279*('Ввод исходных данных'!$D$83-AQ279)</f>
        <v>806</v>
      </c>
      <c r="AU279" s="1070">
        <v>2</v>
      </c>
      <c r="AV279" s="1070"/>
      <c r="AW279" s="1070">
        <f t="shared" si="54"/>
        <v>30</v>
      </c>
      <c r="AX279" s="1070">
        <f>AW279*('Ввод исходных данных'!$D$83-AU279)</f>
        <v>480</v>
      </c>
      <c r="AY279" s="1071">
        <v>10.199999999999999</v>
      </c>
      <c r="AZ279" s="1071"/>
      <c r="BA279" s="1071">
        <f t="shared" si="55"/>
        <v>9</v>
      </c>
      <c r="BB279" s="1071">
        <f>BA279*('Ввод исходных данных'!$D$83-AY279)</f>
        <v>70.2</v>
      </c>
      <c r="BC279" s="1072">
        <v>16.899999999999999</v>
      </c>
      <c r="BD279" s="1072"/>
      <c r="BE279" s="1072">
        <f t="shared" si="47"/>
        <v>0</v>
      </c>
      <c r="BF279" s="1073">
        <f>BE279*('Ввод исходных данных'!$D$83-BC279)</f>
        <v>0</v>
      </c>
    </row>
    <row r="280" spans="2:58" ht="15.75" customHeight="1" x14ac:dyDescent="0.25">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6940.8</v>
      </c>
      <c r="J280" s="1059" t="str">
        <f t="shared" si="46"/>
        <v>6000-7000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145</v>
      </c>
      <c r="W280" s="1065">
        <v>-1.1000000000000001</v>
      </c>
      <c r="X280" s="1065"/>
      <c r="Y280" s="1065">
        <f t="shared" si="51"/>
        <v>31</v>
      </c>
      <c r="Z280" s="1065">
        <f>Y280*('Ввод исходных данных'!$D$83-W280)</f>
        <v>592.1</v>
      </c>
      <c r="AA280" s="1066">
        <v>-13.4</v>
      </c>
      <c r="AB280" s="1066"/>
      <c r="AC280" s="1066">
        <f t="shared" si="52"/>
        <v>30</v>
      </c>
      <c r="AD280" s="1066">
        <f>AC280*('Ввод исходных данных'!$D$83-AA280)</f>
        <v>942</v>
      </c>
      <c r="AE280" s="1067">
        <v>-21.9</v>
      </c>
      <c r="AF280" s="1067"/>
      <c r="AG280" s="1067">
        <v>31</v>
      </c>
      <c r="AH280" s="1067">
        <f>AG280*('Ввод исходных данных'!$D$83-AE280)</f>
        <v>1236.8999999999999</v>
      </c>
      <c r="AI280" s="1068">
        <v>-25.6</v>
      </c>
      <c r="AJ280" s="1068"/>
      <c r="AK280" s="1068">
        <v>31</v>
      </c>
      <c r="AL280" s="1068">
        <f>AK280*('Ввод исходных данных'!$D$83-AI280)</f>
        <v>1351.6000000000001</v>
      </c>
      <c r="AM280" s="1069">
        <v>-22</v>
      </c>
      <c r="AN280" s="1069"/>
      <c r="AO280" s="1069">
        <v>28</v>
      </c>
      <c r="AP280" s="1069">
        <f>AO280*('Ввод исходных данных'!$D$83-AM280)</f>
        <v>1120</v>
      </c>
      <c r="AQ280" s="1064">
        <v>-10.7</v>
      </c>
      <c r="AR280" s="1064"/>
      <c r="AS280" s="1064">
        <f t="shared" si="53"/>
        <v>31</v>
      </c>
      <c r="AT280" s="1064">
        <f>AS280*('Ввод исходных данных'!$D$83-AQ280)</f>
        <v>889.69999999999993</v>
      </c>
      <c r="AU280" s="1070">
        <v>0.4</v>
      </c>
      <c r="AV280" s="1070"/>
      <c r="AW280" s="1070">
        <f t="shared" si="54"/>
        <v>30</v>
      </c>
      <c r="AX280" s="1070">
        <f>AW280*('Ввод исходных данных'!$D$83-AU280)</f>
        <v>528</v>
      </c>
      <c r="AY280" s="1071">
        <v>8.4</v>
      </c>
      <c r="AZ280" s="1071"/>
      <c r="BA280" s="1071">
        <f t="shared" si="55"/>
        <v>14.5</v>
      </c>
      <c r="BB280" s="1071">
        <f>BA280*('Ввод исходных данных'!$D$83-AY280)</f>
        <v>139.19999999999999</v>
      </c>
      <c r="BC280" s="1072">
        <v>16.2</v>
      </c>
      <c r="BD280" s="1072"/>
      <c r="BE280" s="1072">
        <f t="shared" si="47"/>
        <v>0</v>
      </c>
      <c r="BF280" s="1073">
        <f>BE280*('Ввод исходных данных'!$D$83-BC280)</f>
        <v>0</v>
      </c>
    </row>
    <row r="281" spans="2:58" ht="15.75" customHeight="1" x14ac:dyDescent="0.25">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1973.4</v>
      </c>
      <c r="J281" s="1059" t="str">
        <f t="shared" si="46"/>
        <v>1000-2000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213.60000000000002</v>
      </c>
      <c r="AE281" s="1067">
        <v>4.8</v>
      </c>
      <c r="AF281" s="1067"/>
      <c r="AG281" s="1067">
        <v>31</v>
      </c>
      <c r="AH281" s="1067">
        <f>AG281*('Ввод исходных данных'!$D$83-AE281)</f>
        <v>409.2</v>
      </c>
      <c r="AI281" s="1068">
        <v>2.5</v>
      </c>
      <c r="AJ281" s="1068"/>
      <c r="AK281" s="1068">
        <v>31</v>
      </c>
      <c r="AL281" s="1068">
        <f>AK281*('Ввод исходных данных'!$D$83-AI281)</f>
        <v>480.5</v>
      </c>
      <c r="AM281" s="1069">
        <v>2.2000000000000002</v>
      </c>
      <c r="AN281" s="1069"/>
      <c r="AO281" s="1069">
        <v>28</v>
      </c>
      <c r="AP281" s="1069">
        <f>AO281*('Ввод исходных данных'!$D$83-AM281)</f>
        <v>442.40000000000003</v>
      </c>
      <c r="AQ281" s="1064">
        <v>5</v>
      </c>
      <c r="AR281" s="1064"/>
      <c r="AS281" s="1064">
        <f t="shared" si="53"/>
        <v>24</v>
      </c>
      <c r="AT281" s="1064">
        <f>AS281*('Ввод исходных данных'!$D$83-AQ281)</f>
        <v>312</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25">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2203.2000000000003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275.39999999999998</v>
      </c>
      <c r="AE282" s="1067">
        <v>2.9</v>
      </c>
      <c r="AF282" s="1067"/>
      <c r="AG282" s="1067">
        <v>31</v>
      </c>
      <c r="AH282" s="1067">
        <f>AG282*('Ввод исходных данных'!$D$83-AE282)</f>
        <v>468.09999999999997</v>
      </c>
      <c r="AI282" s="1068">
        <v>0.6</v>
      </c>
      <c r="AJ282" s="1068"/>
      <c r="AK282" s="1068">
        <v>31</v>
      </c>
      <c r="AL282" s="1068">
        <f>AK282*('Ввод исходных данных'!$D$83-AI282)</f>
        <v>539.4</v>
      </c>
      <c r="AM282" s="1069">
        <v>0.8</v>
      </c>
      <c r="AN282" s="1069"/>
      <c r="AO282" s="1069">
        <v>28</v>
      </c>
      <c r="AP282" s="1069">
        <f>AO282*('Ввод исходных данных'!$D$83-AM282)</f>
        <v>481.59999999999997</v>
      </c>
      <c r="AQ282" s="1064">
        <v>4.4000000000000004</v>
      </c>
      <c r="AR282" s="1064"/>
      <c r="AS282" s="1064">
        <f t="shared" si="53"/>
        <v>27</v>
      </c>
      <c r="AT282" s="1064">
        <f>AS282*('Ввод исходных данных'!$D$83-AQ282)</f>
        <v>367.2</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25">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2786.4</v>
      </c>
      <c r="J283" s="1059" t="str">
        <f t="shared" si="46"/>
        <v>2000-3000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39.599999999999994</v>
      </c>
      <c r="AA283" s="1066">
        <v>4.8</v>
      </c>
      <c r="AB283" s="1066"/>
      <c r="AC283" s="1066">
        <f t="shared" si="52"/>
        <v>30</v>
      </c>
      <c r="AD283" s="1066">
        <f>AC283*('Ввод исходных данных'!$D$83-AA283)</f>
        <v>396</v>
      </c>
      <c r="AE283" s="1067">
        <v>0.5</v>
      </c>
      <c r="AF283" s="1067"/>
      <c r="AG283" s="1067">
        <v>31</v>
      </c>
      <c r="AH283" s="1067">
        <f>AG283*('Ввод исходных данных'!$D$83-AE283)</f>
        <v>542.5</v>
      </c>
      <c r="AI283" s="1068">
        <v>-3.6</v>
      </c>
      <c r="AJ283" s="1068"/>
      <c r="AK283" s="1068">
        <v>31</v>
      </c>
      <c r="AL283" s="1068">
        <f>AK283*('Ввод исходных данных'!$D$83-AI283)</f>
        <v>669.6</v>
      </c>
      <c r="AM283" s="1069">
        <v>-2.5</v>
      </c>
      <c r="AN283" s="1069"/>
      <c r="AO283" s="1069">
        <v>28</v>
      </c>
      <c r="AP283" s="1069">
        <f>AO283*('Ввод исходных данных'!$D$83-AM283)</f>
        <v>574</v>
      </c>
      <c r="AQ283" s="1064">
        <v>2.4</v>
      </c>
      <c r="AR283" s="1064"/>
      <c r="AS283" s="1064">
        <f t="shared" si="53"/>
        <v>31</v>
      </c>
      <c r="AT283" s="1064">
        <f>AS283*('Ввод исходных данных'!$D$83-AQ283)</f>
        <v>483.59999999999997</v>
      </c>
      <c r="AU283" s="1070">
        <v>10.6</v>
      </c>
      <c r="AV283" s="1070"/>
      <c r="AW283" s="1070">
        <f t="shared" si="54"/>
        <v>5.5</v>
      </c>
      <c r="AX283" s="1070">
        <f>AW283*('Ввод исходных данных'!$D$83-AU283)</f>
        <v>40.700000000000003</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25">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2718.9</v>
      </c>
      <c r="J284" s="1059" t="str">
        <f t="shared" si="46"/>
        <v>2000-3000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28.799999999999997</v>
      </c>
      <c r="AA284" s="1066">
        <v>4.7</v>
      </c>
      <c r="AB284" s="1066"/>
      <c r="AC284" s="1066">
        <f t="shared" si="52"/>
        <v>30</v>
      </c>
      <c r="AD284" s="1066">
        <f>AC284*('Ввод исходных данных'!$D$83-AA284)</f>
        <v>399</v>
      </c>
      <c r="AE284" s="1067">
        <v>-0.3</v>
      </c>
      <c r="AF284" s="1067"/>
      <c r="AG284" s="1067">
        <v>31</v>
      </c>
      <c r="AH284" s="1067">
        <f>AG284*('Ввод исходных данных'!$D$83-AE284)</f>
        <v>567.30000000000007</v>
      </c>
      <c r="AI284" s="1068">
        <v>-2.2000000000000002</v>
      </c>
      <c r="AJ284" s="1068"/>
      <c r="AK284" s="1068">
        <v>31</v>
      </c>
      <c r="AL284" s="1068">
        <f>AK284*('Ввод исходных данных'!$D$83-AI284)</f>
        <v>626.19999999999993</v>
      </c>
      <c r="AM284" s="1069">
        <v>-1.9</v>
      </c>
      <c r="AN284" s="1069"/>
      <c r="AO284" s="1069">
        <v>28</v>
      </c>
      <c r="AP284" s="1069">
        <f>AO284*('Ввод исходных данных'!$D$83-AM284)</f>
        <v>557.19999999999993</v>
      </c>
      <c r="AQ284" s="1064">
        <v>3.5</v>
      </c>
      <c r="AR284" s="1064"/>
      <c r="AS284" s="1064">
        <f t="shared" si="53"/>
        <v>31</v>
      </c>
      <c r="AT284" s="1064">
        <f>AS284*('Ввод исходных данных'!$D$83-AQ284)</f>
        <v>449.5</v>
      </c>
      <c r="AU284" s="1070">
        <v>10.9</v>
      </c>
      <c r="AV284" s="1070"/>
      <c r="AW284" s="1070">
        <f t="shared" si="54"/>
        <v>4</v>
      </c>
      <c r="AX284" s="1070">
        <f>AW284*('Ввод исходных данных'!$D$83-AU284)</f>
        <v>28.4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25">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2718.9</v>
      </c>
      <c r="J285" s="1059" t="str">
        <f t="shared" si="46"/>
        <v>2000-3000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28.799999999999997</v>
      </c>
      <c r="AA285" s="1066">
        <v>4.7</v>
      </c>
      <c r="AB285" s="1066"/>
      <c r="AC285" s="1066">
        <f t="shared" si="52"/>
        <v>30</v>
      </c>
      <c r="AD285" s="1066">
        <f>AC285*('Ввод исходных данных'!$D$83-AA285)</f>
        <v>399</v>
      </c>
      <c r="AE285" s="1067">
        <v>-0.3</v>
      </c>
      <c r="AF285" s="1067"/>
      <c r="AG285" s="1067">
        <v>31</v>
      </c>
      <c r="AH285" s="1067">
        <f>AG285*('Ввод исходных данных'!$D$83-AE285)</f>
        <v>567.30000000000007</v>
      </c>
      <c r="AI285" s="1068">
        <v>-2.2000000000000002</v>
      </c>
      <c r="AJ285" s="1068"/>
      <c r="AK285" s="1068">
        <v>31</v>
      </c>
      <c r="AL285" s="1068">
        <f>AK285*('Ввод исходных данных'!$D$83-AI285)</f>
        <v>626.19999999999993</v>
      </c>
      <c r="AM285" s="1069">
        <v>-1.9</v>
      </c>
      <c r="AN285" s="1069"/>
      <c r="AO285" s="1069">
        <v>28</v>
      </c>
      <c r="AP285" s="1069">
        <f>AO285*('Ввод исходных данных'!$D$83-AM285)</f>
        <v>557.19999999999993</v>
      </c>
      <c r="AQ285" s="1064">
        <v>3.5</v>
      </c>
      <c r="AR285" s="1064"/>
      <c r="AS285" s="1064">
        <f t="shared" si="53"/>
        <v>31</v>
      </c>
      <c r="AT285" s="1064">
        <f>AS285*('Ввод исходных данных'!$D$83-AQ285)</f>
        <v>449.5</v>
      </c>
      <c r="AU285" s="1070">
        <v>10.9</v>
      </c>
      <c r="AV285" s="1070"/>
      <c r="AW285" s="1070">
        <f t="shared" si="54"/>
        <v>4</v>
      </c>
      <c r="AX285" s="1070">
        <f>AW285*('Ввод исходных данных'!$D$83-AU285)</f>
        <v>28.4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25">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2718.9</v>
      </c>
      <c r="J286" s="1059" t="str">
        <f t="shared" si="46"/>
        <v>2000-3000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28.799999999999997</v>
      </c>
      <c r="AA286" s="1066">
        <v>4.7</v>
      </c>
      <c r="AB286" s="1066"/>
      <c r="AC286" s="1066">
        <f t="shared" si="52"/>
        <v>30</v>
      </c>
      <c r="AD286" s="1066">
        <f>AC286*('Ввод исходных данных'!$D$83-AA286)</f>
        <v>399</v>
      </c>
      <c r="AE286" s="1067">
        <v>-0.3</v>
      </c>
      <c r="AF286" s="1067"/>
      <c r="AG286" s="1067">
        <v>31</v>
      </c>
      <c r="AH286" s="1067">
        <f>AG286*('Ввод исходных данных'!$D$83-AE286)</f>
        <v>567.30000000000007</v>
      </c>
      <c r="AI286" s="1068">
        <v>-2.2000000000000002</v>
      </c>
      <c r="AJ286" s="1068"/>
      <c r="AK286" s="1068">
        <v>31</v>
      </c>
      <c r="AL286" s="1068">
        <f>AK286*('Ввод исходных данных'!$D$83-AI286)</f>
        <v>626.19999999999993</v>
      </c>
      <c r="AM286" s="1069">
        <v>-1.9</v>
      </c>
      <c r="AN286" s="1069"/>
      <c r="AO286" s="1069">
        <v>28</v>
      </c>
      <c r="AP286" s="1069">
        <f>AO286*('Ввод исходных данных'!$D$83-AM286)</f>
        <v>557.19999999999993</v>
      </c>
      <c r="AQ286" s="1064">
        <v>3.5</v>
      </c>
      <c r="AR286" s="1064"/>
      <c r="AS286" s="1064">
        <f t="shared" si="53"/>
        <v>31</v>
      </c>
      <c r="AT286" s="1064">
        <f>AS286*('Ввод исходных данных'!$D$83-AQ286)</f>
        <v>449.5</v>
      </c>
      <c r="AU286" s="1070">
        <v>10.9</v>
      </c>
      <c r="AV286" s="1070"/>
      <c r="AW286" s="1070">
        <f t="shared" si="54"/>
        <v>4</v>
      </c>
      <c r="AX286" s="1070">
        <f>AW286*('Ввод исходных данных'!$D$83-AU286)</f>
        <v>28.4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25">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3211</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75.600000000000009</v>
      </c>
      <c r="AA287" s="1066">
        <v>2.6</v>
      </c>
      <c r="AB287" s="1066"/>
      <c r="AC287" s="1066">
        <f t="shared" si="52"/>
        <v>30</v>
      </c>
      <c r="AD287" s="1066">
        <f>AC287*('Ввод исходных данных'!$D$83-AA287)</f>
        <v>462</v>
      </c>
      <c r="AE287" s="1067">
        <v>-2.5</v>
      </c>
      <c r="AF287" s="1067"/>
      <c r="AG287" s="1067">
        <v>31</v>
      </c>
      <c r="AH287" s="1067">
        <f>AG287*('Ввод исходных данных'!$D$83-AE287)</f>
        <v>635.5</v>
      </c>
      <c r="AI287" s="1068">
        <v>-5</v>
      </c>
      <c r="AJ287" s="1068"/>
      <c r="AK287" s="1068">
        <v>31</v>
      </c>
      <c r="AL287" s="1068">
        <f>AK287*('Ввод исходных данных'!$D$83-AI287)</f>
        <v>713</v>
      </c>
      <c r="AM287" s="1069">
        <v>-4.5999999999999996</v>
      </c>
      <c r="AN287" s="1069"/>
      <c r="AO287" s="1069">
        <v>28</v>
      </c>
      <c r="AP287" s="1069">
        <f>AO287*('Ввод исходных данных'!$D$83-AM287)</f>
        <v>632.80000000000007</v>
      </c>
      <c r="AQ287" s="1064">
        <v>1.3</v>
      </c>
      <c r="AR287" s="1064"/>
      <c r="AS287" s="1064">
        <f t="shared" si="53"/>
        <v>31</v>
      </c>
      <c r="AT287" s="1064">
        <f>AS287*('Ввод исходных данных'!$D$83-AQ287)</f>
        <v>517.69999999999993</v>
      </c>
      <c r="AU287" s="1070">
        <v>10.3</v>
      </c>
      <c r="AV287" s="1070"/>
      <c r="AW287" s="1070">
        <f t="shared" si="54"/>
        <v>9</v>
      </c>
      <c r="AX287" s="1070">
        <f>AW287*('Ввод исходных данных'!$D$83-AU287)</f>
        <v>69.3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25">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5482.5</v>
      </c>
      <c r="J288" s="1059" t="str">
        <f t="shared" si="46"/>
        <v>5000-6000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204.25</v>
      </c>
      <c r="W288" s="1065">
        <v>2.5</v>
      </c>
      <c r="X288" s="1065"/>
      <c r="Y288" s="1065">
        <f t="shared" si="51"/>
        <v>31</v>
      </c>
      <c r="Z288" s="1065">
        <f>Y288*('Ввод исходных данных'!$D$83-W288)</f>
        <v>480.5</v>
      </c>
      <c r="AA288" s="1066">
        <v>-3.2</v>
      </c>
      <c r="AB288" s="1066"/>
      <c r="AC288" s="1066">
        <f t="shared" si="52"/>
        <v>30</v>
      </c>
      <c r="AD288" s="1066">
        <f>AC288*('Ввод исходных данных'!$D$83-AA288)</f>
        <v>636</v>
      </c>
      <c r="AE288" s="1067">
        <v>-7.6</v>
      </c>
      <c r="AF288" s="1067"/>
      <c r="AG288" s="1067">
        <v>31</v>
      </c>
      <c r="AH288" s="1067">
        <f>AG288*('Ввод исходных данных'!$D$83-AE288)</f>
        <v>793.6</v>
      </c>
      <c r="AI288" s="1068">
        <v>-10.9</v>
      </c>
      <c r="AJ288" s="1068"/>
      <c r="AK288" s="1068">
        <v>31</v>
      </c>
      <c r="AL288" s="1068">
        <f>AK288*('Ввод исходных данных'!$D$83-AI288)</f>
        <v>895.9</v>
      </c>
      <c r="AM288" s="1069">
        <v>-10.5</v>
      </c>
      <c r="AN288" s="1069"/>
      <c r="AO288" s="1069">
        <v>28</v>
      </c>
      <c r="AP288" s="1069">
        <f>AO288*('Ввод исходных данных'!$D$83-AM288)</f>
        <v>798</v>
      </c>
      <c r="AQ288" s="1064">
        <v>-5.5</v>
      </c>
      <c r="AR288" s="1064"/>
      <c r="AS288" s="1064">
        <f t="shared" si="53"/>
        <v>31</v>
      </c>
      <c r="AT288" s="1064">
        <f>AS288*('Ввод исходных данных'!$D$83-AQ288)</f>
        <v>728.5</v>
      </c>
      <c r="AU288" s="1070">
        <v>-0.7</v>
      </c>
      <c r="AV288" s="1070"/>
      <c r="AW288" s="1070">
        <f t="shared" si="54"/>
        <v>30</v>
      </c>
      <c r="AX288" s="1070">
        <f>AW288*('Ввод исходных данных'!$D$83-AU288)</f>
        <v>561</v>
      </c>
      <c r="AY288" s="1071">
        <v>4.9000000000000004</v>
      </c>
      <c r="AZ288" s="1071"/>
      <c r="BA288" s="1071">
        <f t="shared" si="55"/>
        <v>21.5</v>
      </c>
      <c r="BB288" s="1071">
        <f>BA288*('Ввод исходных данных'!$D$83-AY288)</f>
        <v>281.64999999999998</v>
      </c>
      <c r="BC288" s="1072">
        <v>10.9</v>
      </c>
      <c r="BD288" s="1072"/>
      <c r="BE288" s="1072">
        <f t="shared" si="47"/>
        <v>0</v>
      </c>
      <c r="BF288" s="1073">
        <f>BE288*('Ввод исходных данных'!$D$83-BC288)</f>
        <v>0</v>
      </c>
    </row>
    <row r="289" spans="2:58" ht="15.75" customHeight="1" x14ac:dyDescent="0.25">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5794.2</v>
      </c>
      <c r="J289" s="1059" t="str">
        <f t="shared" si="46"/>
        <v>5000-6000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264.60000000000002</v>
      </c>
      <c r="W289" s="1065">
        <v>1</v>
      </c>
      <c r="X289" s="1065"/>
      <c r="Y289" s="1065">
        <f t="shared" si="51"/>
        <v>31</v>
      </c>
      <c r="Z289" s="1065">
        <f>Y289*('Ввод исходных данных'!$D$83-W289)</f>
        <v>527</v>
      </c>
      <c r="AA289" s="1066">
        <v>-4.4000000000000004</v>
      </c>
      <c r="AB289" s="1066"/>
      <c r="AC289" s="1066">
        <f t="shared" si="52"/>
        <v>30</v>
      </c>
      <c r="AD289" s="1066">
        <f>AC289*('Ввод исходных данных'!$D$83-AA289)</f>
        <v>672</v>
      </c>
      <c r="AE289" s="1067">
        <v>-8.5</v>
      </c>
      <c r="AF289" s="1067"/>
      <c r="AG289" s="1067">
        <v>31</v>
      </c>
      <c r="AH289" s="1067">
        <f>AG289*('Ввод исходных данных'!$D$83-AE289)</f>
        <v>821.5</v>
      </c>
      <c r="AI289" s="1068">
        <v>-12.1</v>
      </c>
      <c r="AJ289" s="1068"/>
      <c r="AK289" s="1068">
        <v>31</v>
      </c>
      <c r="AL289" s="1068">
        <f>AK289*('Ввод исходных данных'!$D$83-AI289)</f>
        <v>933.1</v>
      </c>
      <c r="AM289" s="1069">
        <v>-12.4</v>
      </c>
      <c r="AN289" s="1069"/>
      <c r="AO289" s="1069">
        <v>28</v>
      </c>
      <c r="AP289" s="1069">
        <f>AO289*('Ввод исходных данных'!$D$83-AM289)</f>
        <v>851.19999999999993</v>
      </c>
      <c r="AQ289" s="1064">
        <v>-8.3000000000000007</v>
      </c>
      <c r="AR289" s="1064"/>
      <c r="AS289" s="1064">
        <f t="shared" si="53"/>
        <v>31</v>
      </c>
      <c r="AT289" s="1064">
        <f>AS289*('Ввод исходных данных'!$D$83-AQ289)</f>
        <v>815.30000000000007</v>
      </c>
      <c r="AU289" s="1070">
        <v>-1.7</v>
      </c>
      <c r="AV289" s="1070"/>
      <c r="AW289" s="1070">
        <f t="shared" si="54"/>
        <v>30</v>
      </c>
      <c r="AX289" s="1070">
        <f>AW289*('Ввод исходных данных'!$D$83-AU289)</f>
        <v>591</v>
      </c>
      <c r="AY289" s="1071">
        <v>4.7</v>
      </c>
      <c r="AZ289" s="1071"/>
      <c r="BA289" s="1071">
        <f t="shared" si="55"/>
        <v>24.5</v>
      </c>
      <c r="BB289" s="1071">
        <f>BA289*('Ввод исходных данных'!$D$83-AY289)</f>
        <v>325.85000000000002</v>
      </c>
      <c r="BC289" s="1072">
        <v>11.6</v>
      </c>
      <c r="BD289" s="1072"/>
      <c r="BE289" s="1072">
        <f t="shared" si="47"/>
        <v>0</v>
      </c>
      <c r="BF289" s="1073">
        <f>BE289*('Ввод исходных данных'!$D$83-BC289)</f>
        <v>0</v>
      </c>
    </row>
    <row r="290" spans="2:58" ht="15.75" customHeight="1" x14ac:dyDescent="0.25">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4939.5999999999995</v>
      </c>
      <c r="J290" s="1059" t="str">
        <f t="shared" si="46"/>
        <v>4000-5000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91.35</v>
      </c>
      <c r="W290" s="1065">
        <v>3.4</v>
      </c>
      <c r="X290" s="1065"/>
      <c r="Y290" s="1065">
        <f t="shared" si="51"/>
        <v>31</v>
      </c>
      <c r="Z290" s="1065">
        <f>Y290*('Ввод исходных данных'!$D$83-W290)</f>
        <v>452.59999999999997</v>
      </c>
      <c r="AA290" s="1066">
        <v>-1.8</v>
      </c>
      <c r="AB290" s="1066"/>
      <c r="AC290" s="1066">
        <f t="shared" si="52"/>
        <v>30</v>
      </c>
      <c r="AD290" s="1066">
        <f>AC290*('Ввод исходных данных'!$D$83-AA290)</f>
        <v>594</v>
      </c>
      <c r="AE290" s="1067">
        <v>-7.1</v>
      </c>
      <c r="AF290" s="1067"/>
      <c r="AG290" s="1067">
        <v>31</v>
      </c>
      <c r="AH290" s="1067">
        <f>AG290*('Ввод исходных данных'!$D$83-AE290)</f>
        <v>778.1</v>
      </c>
      <c r="AI290" s="1068">
        <v>-10.3</v>
      </c>
      <c r="AJ290" s="1068"/>
      <c r="AK290" s="1068">
        <v>31</v>
      </c>
      <c r="AL290" s="1068">
        <f>AK290*('Ввод исходных данных'!$D$83-AI290)</f>
        <v>877.30000000000007</v>
      </c>
      <c r="AM290" s="1069">
        <v>-10.5</v>
      </c>
      <c r="AN290" s="1069"/>
      <c r="AO290" s="1069">
        <v>28</v>
      </c>
      <c r="AP290" s="1069">
        <f>AO290*('Ввод исходных данных'!$D$83-AM290)</f>
        <v>798</v>
      </c>
      <c r="AQ290" s="1064">
        <v>-6.3</v>
      </c>
      <c r="AR290" s="1064"/>
      <c r="AS290" s="1064">
        <f t="shared" si="53"/>
        <v>31</v>
      </c>
      <c r="AT290" s="1064">
        <f>AS290*('Ввод исходных данных'!$D$83-AQ290)</f>
        <v>753.30000000000007</v>
      </c>
      <c r="AU290" s="1070">
        <v>1.3</v>
      </c>
      <c r="AV290" s="1070"/>
      <c r="AW290" s="1070">
        <f t="shared" si="54"/>
        <v>30</v>
      </c>
      <c r="AX290" s="1070">
        <f>AW290*('Ввод исходных данных'!$D$83-AU290)</f>
        <v>501</v>
      </c>
      <c r="AY290" s="1071">
        <v>8.6</v>
      </c>
      <c r="AZ290" s="1071"/>
      <c r="BA290" s="1071">
        <f t="shared" si="55"/>
        <v>10.5</v>
      </c>
      <c r="BB290" s="1071">
        <f>BA290*('Ввод исходных данных'!$D$83-AY290)</f>
        <v>98.7</v>
      </c>
      <c r="BC290" s="1072">
        <v>13.6</v>
      </c>
      <c r="BD290" s="1072"/>
      <c r="BE290" s="1072">
        <f t="shared" si="47"/>
        <v>0</v>
      </c>
      <c r="BF290" s="1073">
        <f>BE290*('Ввод исходных данных'!$D$83-BC290)</f>
        <v>0</v>
      </c>
    </row>
    <row r="291" spans="2:58" ht="15.75" customHeight="1" x14ac:dyDescent="0.25">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5338.2</v>
      </c>
      <c r="J291" s="1059" t="str">
        <f t="shared" si="46"/>
        <v>5000-6000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156.39999999999998</v>
      </c>
      <c r="W291" s="1065">
        <v>2.8</v>
      </c>
      <c r="X291" s="1065"/>
      <c r="Y291" s="1065">
        <f t="shared" si="51"/>
        <v>31</v>
      </c>
      <c r="Z291" s="1065">
        <f>Y291*('Ввод исходных данных'!$D$83-W291)</f>
        <v>471.2</v>
      </c>
      <c r="AA291" s="1066">
        <v>-3</v>
      </c>
      <c r="AB291" s="1066"/>
      <c r="AC291" s="1066">
        <f t="shared" si="52"/>
        <v>30</v>
      </c>
      <c r="AD291" s="1066">
        <f>AC291*('Ввод исходных данных'!$D$83-AA291)</f>
        <v>630</v>
      </c>
      <c r="AE291" s="1067">
        <v>-7.8</v>
      </c>
      <c r="AF291" s="1067"/>
      <c r="AG291" s="1067">
        <v>31</v>
      </c>
      <c r="AH291" s="1067">
        <f>AG291*('Ввод исходных данных'!$D$83-AE291)</f>
        <v>799.80000000000007</v>
      </c>
      <c r="AI291" s="1068">
        <v>-11.2</v>
      </c>
      <c r="AJ291" s="1068"/>
      <c r="AK291" s="1068">
        <v>31</v>
      </c>
      <c r="AL291" s="1068">
        <f>AK291*('Ввод исходных данных'!$D$83-AI291)</f>
        <v>905.19999999999993</v>
      </c>
      <c r="AM291" s="1069">
        <v>-10.7</v>
      </c>
      <c r="AN291" s="1069"/>
      <c r="AO291" s="1069">
        <v>28</v>
      </c>
      <c r="AP291" s="1069">
        <f>AO291*('Ввод исходных данных'!$D$83-AM291)</f>
        <v>803.6</v>
      </c>
      <c r="AQ291" s="1064">
        <v>-5.2</v>
      </c>
      <c r="AR291" s="1064"/>
      <c r="AS291" s="1064">
        <f t="shared" si="53"/>
        <v>31</v>
      </c>
      <c r="AT291" s="1064">
        <f>AS291*('Ввод исходных данных'!$D$83-AQ291)</f>
        <v>719.19999999999993</v>
      </c>
      <c r="AU291" s="1070">
        <v>0.2</v>
      </c>
      <c r="AV291" s="1070"/>
      <c r="AW291" s="1070">
        <f t="shared" si="54"/>
        <v>30</v>
      </c>
      <c r="AX291" s="1070">
        <f>AW291*('Ввод исходных данных'!$D$83-AU291)</f>
        <v>534</v>
      </c>
      <c r="AY291" s="1071">
        <v>6.5</v>
      </c>
      <c r="AZ291" s="1071"/>
      <c r="BA291" s="1071">
        <f t="shared" si="55"/>
        <v>17</v>
      </c>
      <c r="BB291" s="1071">
        <f>BA291*('Ввод исходных данных'!$D$83-AY291)</f>
        <v>195.5</v>
      </c>
      <c r="BC291" s="1072">
        <v>12.7</v>
      </c>
      <c r="BD291" s="1072"/>
      <c r="BE291" s="1072">
        <f t="shared" si="47"/>
        <v>0</v>
      </c>
      <c r="BF291" s="1073">
        <f>BE291*('Ввод исходных данных'!$D$83-BC291)</f>
        <v>0</v>
      </c>
    </row>
    <row r="292" spans="2:58" ht="15.75" customHeight="1" x14ac:dyDescent="0.25">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4982</v>
      </c>
      <c r="J292" s="1059" t="str">
        <f t="shared" si="46"/>
        <v>4000-5000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102.35000000000001</v>
      </c>
      <c r="W292" s="1065">
        <v>3.3</v>
      </c>
      <c r="X292" s="1065"/>
      <c r="Y292" s="1065">
        <f t="shared" si="51"/>
        <v>31</v>
      </c>
      <c r="Z292" s="1065">
        <f>Y292*('Ввод исходных данных'!$D$83-W292)</f>
        <v>455.7</v>
      </c>
      <c r="AA292" s="1066">
        <v>-2.5</v>
      </c>
      <c r="AB292" s="1066"/>
      <c r="AC292" s="1066">
        <f t="shared" si="52"/>
        <v>30</v>
      </c>
      <c r="AD292" s="1066">
        <f>AC292*('Ввод исходных данных'!$D$83-AA292)</f>
        <v>615</v>
      </c>
      <c r="AE292" s="1067">
        <v>-7</v>
      </c>
      <c r="AF292" s="1067"/>
      <c r="AG292" s="1067">
        <v>31</v>
      </c>
      <c r="AH292" s="1067">
        <f>AG292*('Ввод исходных данных'!$D$83-AE292)</f>
        <v>775</v>
      </c>
      <c r="AI292" s="1068">
        <v>-10.3</v>
      </c>
      <c r="AJ292" s="1068"/>
      <c r="AK292" s="1068">
        <v>31</v>
      </c>
      <c r="AL292" s="1068">
        <f>AK292*('Ввод исходных данных'!$D$83-AI292)</f>
        <v>877.30000000000007</v>
      </c>
      <c r="AM292" s="1069">
        <v>-9.5</v>
      </c>
      <c r="AN292" s="1069"/>
      <c r="AO292" s="1069">
        <v>28</v>
      </c>
      <c r="AP292" s="1069">
        <f>AO292*('Ввод исходных данных'!$D$83-AM292)</f>
        <v>770</v>
      </c>
      <c r="AQ292" s="1064">
        <v>-3.8</v>
      </c>
      <c r="AR292" s="1064"/>
      <c r="AS292" s="1064">
        <f t="shared" si="53"/>
        <v>31</v>
      </c>
      <c r="AT292" s="1064">
        <f>AS292*('Ввод исходных данных'!$D$83-AQ292)</f>
        <v>675.80000000000007</v>
      </c>
      <c r="AU292" s="1070">
        <v>1.8</v>
      </c>
      <c r="AV292" s="1070"/>
      <c r="AW292" s="1070">
        <f t="shared" si="54"/>
        <v>30</v>
      </c>
      <c r="AX292" s="1070">
        <f>AW292*('Ввод исходных данных'!$D$83-AU292)</f>
        <v>486</v>
      </c>
      <c r="AY292" s="1071">
        <v>8.4</v>
      </c>
      <c r="AZ292" s="1071"/>
      <c r="BA292" s="1071">
        <f t="shared" si="55"/>
        <v>11.5</v>
      </c>
      <c r="BB292" s="1071">
        <f>BA292*('Ввод исходных данных'!$D$83-AY292)</f>
        <v>110.39999999999999</v>
      </c>
      <c r="BC292" s="1072">
        <v>13.7</v>
      </c>
      <c r="BD292" s="1072"/>
      <c r="BE292" s="1072">
        <f t="shared" si="47"/>
        <v>0</v>
      </c>
      <c r="BF292" s="1073">
        <f>BE292*('Ввод исходных данных'!$D$83-BC292)</f>
        <v>0</v>
      </c>
    </row>
    <row r="293" spans="2:58" ht="15.75" customHeight="1" x14ac:dyDescent="0.25">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5505.5999999999995</v>
      </c>
      <c r="J293" s="1059" t="str">
        <f t="shared" si="46"/>
        <v>5000-6000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180</v>
      </c>
      <c r="W293" s="1065">
        <v>1.9</v>
      </c>
      <c r="X293" s="1065"/>
      <c r="Y293" s="1065">
        <f t="shared" si="51"/>
        <v>31</v>
      </c>
      <c r="Z293" s="1065">
        <f>Y293*('Ввод исходных данных'!$D$83-W293)</f>
        <v>499.1</v>
      </c>
      <c r="AA293" s="1066">
        <v>-4</v>
      </c>
      <c r="AB293" s="1066"/>
      <c r="AC293" s="1066">
        <f t="shared" si="52"/>
        <v>30</v>
      </c>
      <c r="AD293" s="1066">
        <f>AC293*('Ввод исходных данных'!$D$83-AA293)</f>
        <v>660</v>
      </c>
      <c r="AE293" s="1067">
        <v>-8.8000000000000007</v>
      </c>
      <c r="AF293" s="1067"/>
      <c r="AG293" s="1067">
        <v>31</v>
      </c>
      <c r="AH293" s="1067">
        <f>AG293*('Ввод исходных данных'!$D$83-AE293)</f>
        <v>830.80000000000007</v>
      </c>
      <c r="AI293" s="1068">
        <v>-11.9</v>
      </c>
      <c r="AJ293" s="1068"/>
      <c r="AK293" s="1068">
        <v>31</v>
      </c>
      <c r="AL293" s="1068">
        <f>AK293*('Ввод исходных данных'!$D$83-AI293)</f>
        <v>926.9</v>
      </c>
      <c r="AM293" s="1069">
        <v>-11.5</v>
      </c>
      <c r="AN293" s="1069"/>
      <c r="AO293" s="1069">
        <v>28</v>
      </c>
      <c r="AP293" s="1069">
        <f>AO293*('Ввод исходных данных'!$D$83-AM293)</f>
        <v>826</v>
      </c>
      <c r="AQ293" s="1064">
        <v>-5.7</v>
      </c>
      <c r="AR293" s="1064"/>
      <c r="AS293" s="1064">
        <f t="shared" si="53"/>
        <v>31</v>
      </c>
      <c r="AT293" s="1064">
        <f>AS293*('Ввод исходных данных'!$D$83-AQ293)</f>
        <v>734.69999999999993</v>
      </c>
      <c r="AU293" s="1070">
        <v>0</v>
      </c>
      <c r="AV293" s="1070"/>
      <c r="AW293" s="1070">
        <f t="shared" si="54"/>
        <v>30</v>
      </c>
      <c r="AX293" s="1070">
        <f>AW293*('Ввод исходных данных'!$D$83-AU293)</f>
        <v>540</v>
      </c>
      <c r="AY293" s="1071">
        <v>6.9</v>
      </c>
      <c r="AZ293" s="1071"/>
      <c r="BA293" s="1071">
        <f t="shared" si="55"/>
        <v>18</v>
      </c>
      <c r="BB293" s="1071">
        <f>BA293*('Ввод исходных данных'!$D$83-AY293)</f>
        <v>199.79999999999998</v>
      </c>
      <c r="BC293" s="1072">
        <v>13.3</v>
      </c>
      <c r="BD293" s="1072"/>
      <c r="BE293" s="1072">
        <f t="shared" si="47"/>
        <v>0</v>
      </c>
      <c r="BF293" s="1073">
        <f>BE293*('Ввод исходных данных'!$D$83-BC293)</f>
        <v>0</v>
      </c>
    </row>
    <row r="294" spans="2:58" ht="15.75" customHeight="1" x14ac:dyDescent="0.25">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4756</v>
      </c>
      <c r="J294" s="1059" t="str">
        <f t="shared" si="46"/>
        <v>4000-5000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84</v>
      </c>
      <c r="W294" s="1065">
        <v>4.2</v>
      </c>
      <c r="X294" s="1065"/>
      <c r="Y294" s="1065">
        <f t="shared" si="51"/>
        <v>31</v>
      </c>
      <c r="Z294" s="1065">
        <f>Y294*('Ввод исходных данных'!$D$83-W294)</f>
        <v>427.8</v>
      </c>
      <c r="AA294" s="1066">
        <v>-1.1000000000000001</v>
      </c>
      <c r="AB294" s="1066"/>
      <c r="AC294" s="1066">
        <f t="shared" si="52"/>
        <v>30</v>
      </c>
      <c r="AD294" s="1066">
        <f>AC294*('Ввод исходных данных'!$D$83-AA294)</f>
        <v>573</v>
      </c>
      <c r="AE294" s="1067">
        <v>-5.8</v>
      </c>
      <c r="AF294" s="1067"/>
      <c r="AG294" s="1067">
        <v>31</v>
      </c>
      <c r="AH294" s="1067">
        <f>AG294*('Ввод исходных данных'!$D$83-AE294)</f>
        <v>737.80000000000007</v>
      </c>
      <c r="AI294" s="1068">
        <v>-9.1</v>
      </c>
      <c r="AJ294" s="1068"/>
      <c r="AK294" s="1068">
        <v>31</v>
      </c>
      <c r="AL294" s="1068">
        <f>AK294*('Ввод исходных данных'!$D$83-AI294)</f>
        <v>840.1</v>
      </c>
      <c r="AM294" s="1069">
        <v>-8.9</v>
      </c>
      <c r="AN294" s="1069"/>
      <c r="AO294" s="1069">
        <v>28</v>
      </c>
      <c r="AP294" s="1069">
        <f>AO294*('Ввод исходных данных'!$D$83-AM294)</f>
        <v>753.19999999999993</v>
      </c>
      <c r="AQ294" s="1064">
        <v>-3.8</v>
      </c>
      <c r="AR294" s="1064"/>
      <c r="AS294" s="1064">
        <f t="shared" si="53"/>
        <v>31</v>
      </c>
      <c r="AT294" s="1064">
        <f>AS294*('Ввод исходных данных'!$D$83-AQ294)</f>
        <v>675.80000000000007</v>
      </c>
      <c r="AU294" s="1070">
        <v>2</v>
      </c>
      <c r="AV294" s="1070"/>
      <c r="AW294" s="1070">
        <f t="shared" si="54"/>
        <v>30</v>
      </c>
      <c r="AX294" s="1070">
        <f>AW294*('Ввод исходных данных'!$D$83-AU294)</f>
        <v>480</v>
      </c>
      <c r="AY294" s="1071">
        <v>8.6</v>
      </c>
      <c r="AZ294" s="1071"/>
      <c r="BA294" s="1071">
        <f t="shared" si="55"/>
        <v>10</v>
      </c>
      <c r="BB294" s="1071">
        <f>BA294*('Ввод исходных данных'!$D$83-AY294)</f>
        <v>94</v>
      </c>
      <c r="BC294" s="1072">
        <v>14</v>
      </c>
      <c r="BD294" s="1072"/>
      <c r="BE294" s="1072">
        <f t="shared" si="47"/>
        <v>0</v>
      </c>
      <c r="BF294" s="1073">
        <f>BE294*('Ввод исходных данных'!$D$83-BC294)</f>
        <v>0</v>
      </c>
    </row>
    <row r="295" spans="2:58" ht="15.75" customHeight="1" x14ac:dyDescent="0.25">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6142.2999999999993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251.99999999999997</v>
      </c>
      <c r="W295" s="1065">
        <v>0</v>
      </c>
      <c r="X295" s="1065"/>
      <c r="Y295" s="1065">
        <f t="shared" si="51"/>
        <v>31</v>
      </c>
      <c r="Z295" s="1065">
        <f>Y295*('Ввод исходных данных'!$D$83-W295)</f>
        <v>558</v>
      </c>
      <c r="AA295" s="1066">
        <v>-6.7</v>
      </c>
      <c r="AB295" s="1066"/>
      <c r="AC295" s="1066">
        <f t="shared" si="52"/>
        <v>30</v>
      </c>
      <c r="AD295" s="1066">
        <f>AC295*('Ввод исходных данных'!$D$83-AA295)</f>
        <v>741</v>
      </c>
      <c r="AE295" s="1067">
        <v>-13.2</v>
      </c>
      <c r="AF295" s="1067"/>
      <c r="AG295" s="1067">
        <v>31</v>
      </c>
      <c r="AH295" s="1067">
        <f>AG295*('Ввод исходных данных'!$D$83-AE295)</f>
        <v>967.19999999999993</v>
      </c>
      <c r="AI295" s="1068">
        <v>-15.8</v>
      </c>
      <c r="AJ295" s="1068"/>
      <c r="AK295" s="1068">
        <v>31</v>
      </c>
      <c r="AL295" s="1068">
        <f>AK295*('Ввод исходных данных'!$D$83-AI295)</f>
        <v>1047.8</v>
      </c>
      <c r="AM295" s="1069">
        <v>-15.1</v>
      </c>
      <c r="AN295" s="1069"/>
      <c r="AO295" s="1069">
        <v>28</v>
      </c>
      <c r="AP295" s="1069">
        <f>AO295*('Ввод исходных данных'!$D$83-AM295)</f>
        <v>926.80000000000007</v>
      </c>
      <c r="AQ295" s="1064">
        <v>-9.1</v>
      </c>
      <c r="AR295" s="1064"/>
      <c r="AS295" s="1064">
        <f t="shared" si="53"/>
        <v>31</v>
      </c>
      <c r="AT295" s="1064">
        <f>AS295*('Ввод исходных данных'!$D$83-AQ295)</f>
        <v>840.1</v>
      </c>
      <c r="AU295" s="1070">
        <v>-0.4</v>
      </c>
      <c r="AV295" s="1070"/>
      <c r="AW295" s="1070">
        <f t="shared" si="54"/>
        <v>30</v>
      </c>
      <c r="AX295" s="1070">
        <f>AW295*('Ввод исходных данных'!$D$83-AU295)</f>
        <v>552</v>
      </c>
      <c r="AY295" s="1071">
        <v>6.2</v>
      </c>
      <c r="AZ295" s="1071"/>
      <c r="BA295" s="1071">
        <f t="shared" si="55"/>
        <v>22.5</v>
      </c>
      <c r="BB295" s="1071">
        <f>BA295*('Ввод исходных данных'!$D$83-AY295)</f>
        <v>265.5</v>
      </c>
      <c r="BC295" s="1072">
        <v>12.4</v>
      </c>
      <c r="BD295" s="1072"/>
      <c r="BE295" s="1072">
        <f t="shared" si="47"/>
        <v>0</v>
      </c>
      <c r="BF295" s="1073">
        <f>BE295*('Ввод исходных данных'!$D$83-BC295)</f>
        <v>0</v>
      </c>
    </row>
    <row r="296" spans="2:58" ht="15.75" customHeight="1" x14ac:dyDescent="0.25">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8292.6</v>
      </c>
      <c r="J296" s="1059" t="str">
        <f t="shared" si="46"/>
        <v>8000-9000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140.25</v>
      </c>
      <c r="S296" s="1064">
        <v>3.8</v>
      </c>
      <c r="T296" s="1064"/>
      <c r="U296" s="1064">
        <f t="shared" si="50"/>
        <v>30</v>
      </c>
      <c r="V296" s="1064">
        <f>U296*('Ввод исходных данных'!$D$83-S296)</f>
        <v>426</v>
      </c>
      <c r="W296" s="1065">
        <v>-5.0999999999999996</v>
      </c>
      <c r="X296" s="1065"/>
      <c r="Y296" s="1065">
        <f t="shared" si="51"/>
        <v>31</v>
      </c>
      <c r="Z296" s="1065">
        <f>Y296*('Ввод исходных данных'!$D$83-W296)</f>
        <v>716.1</v>
      </c>
      <c r="AA296" s="1066">
        <v>-13.6</v>
      </c>
      <c r="AB296" s="1066"/>
      <c r="AC296" s="1066">
        <f t="shared" si="52"/>
        <v>30</v>
      </c>
      <c r="AD296" s="1066">
        <f>AC296*('Ввод исходных данных'!$D$83-AA296)</f>
        <v>948</v>
      </c>
      <c r="AE296" s="1067">
        <v>-15.7</v>
      </c>
      <c r="AF296" s="1067"/>
      <c r="AG296" s="1067">
        <v>31</v>
      </c>
      <c r="AH296" s="1067">
        <f>AG296*('Ввод исходных данных'!$D$83-AE296)</f>
        <v>1044.7</v>
      </c>
      <c r="AI296" s="1068">
        <v>-20.3</v>
      </c>
      <c r="AJ296" s="1068"/>
      <c r="AK296" s="1068">
        <v>31</v>
      </c>
      <c r="AL296" s="1068">
        <f>AK296*('Ввод исходных данных'!$D$83-AI296)</f>
        <v>1187.3</v>
      </c>
      <c r="AM296" s="1069">
        <v>-20.6</v>
      </c>
      <c r="AN296" s="1069"/>
      <c r="AO296" s="1069">
        <v>28</v>
      </c>
      <c r="AP296" s="1069">
        <f>AO296*('Ввод исходных данных'!$D$83-AM296)</f>
        <v>1080.8</v>
      </c>
      <c r="AQ296" s="1064">
        <v>-16.5</v>
      </c>
      <c r="AR296" s="1064"/>
      <c r="AS296" s="1064">
        <f t="shared" si="53"/>
        <v>31</v>
      </c>
      <c r="AT296" s="1064">
        <f>AS296*('Ввод исходных данных'!$D$83-AQ296)</f>
        <v>1069.5</v>
      </c>
      <c r="AU296" s="1070">
        <v>-9</v>
      </c>
      <c r="AV296" s="1070"/>
      <c r="AW296" s="1070">
        <f t="shared" si="54"/>
        <v>30</v>
      </c>
      <c r="AX296" s="1070">
        <f>AW296*('Ввод исходных данных'!$D$83-AU296)</f>
        <v>810</v>
      </c>
      <c r="AY296" s="1071">
        <v>-2.8</v>
      </c>
      <c r="AZ296" s="1071"/>
      <c r="BA296" s="1071">
        <f t="shared" si="55"/>
        <v>31</v>
      </c>
      <c r="BB296" s="1071">
        <f>BA296*('Ввод исходных данных'!$D$83-AY296)</f>
        <v>644.80000000000007</v>
      </c>
      <c r="BC296" s="1072">
        <v>5.8</v>
      </c>
      <c r="BD296" s="1072"/>
      <c r="BE296" s="1072">
        <f t="shared" si="47"/>
        <v>16.5</v>
      </c>
      <c r="BF296" s="1073">
        <f>BE296*('Ввод исходных данных'!$D$83-BC296)</f>
        <v>201.29999999999998</v>
      </c>
    </row>
    <row r="297" spans="2:58" ht="15.75" customHeight="1" x14ac:dyDescent="0.25">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5568.7</v>
      </c>
      <c r="J297" s="1059" t="str">
        <f t="shared" si="46"/>
        <v>5000-6000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132.30000000000001</v>
      </c>
      <c r="W297" s="1065">
        <v>0.7</v>
      </c>
      <c r="X297" s="1065"/>
      <c r="Y297" s="1065">
        <f t="shared" si="51"/>
        <v>31</v>
      </c>
      <c r="Z297" s="1065">
        <f>Y297*('Ввод исходных данных'!$D$83-W297)</f>
        <v>536.30000000000007</v>
      </c>
      <c r="AA297" s="1066">
        <v>-5.7</v>
      </c>
      <c r="AB297" s="1066"/>
      <c r="AC297" s="1066">
        <f t="shared" si="52"/>
        <v>30</v>
      </c>
      <c r="AD297" s="1066">
        <f>AC297*('Ввод исходных данных'!$D$83-AA297)</f>
        <v>711</v>
      </c>
      <c r="AE297" s="1067">
        <v>-11.6</v>
      </c>
      <c r="AF297" s="1067"/>
      <c r="AG297" s="1067">
        <v>31</v>
      </c>
      <c r="AH297" s="1067">
        <f>AG297*('Ввод исходных данных'!$D$83-AE297)</f>
        <v>917.6</v>
      </c>
      <c r="AI297" s="1068">
        <v>-14.9</v>
      </c>
      <c r="AJ297" s="1068"/>
      <c r="AK297" s="1068">
        <v>31</v>
      </c>
      <c r="AL297" s="1068">
        <f>AK297*('Ввод исходных данных'!$D$83-AI297)</f>
        <v>1019.9</v>
      </c>
      <c r="AM297" s="1069">
        <v>-13</v>
      </c>
      <c r="AN297" s="1069"/>
      <c r="AO297" s="1069">
        <v>28</v>
      </c>
      <c r="AP297" s="1069">
        <f>AO297*('Ввод исходных данных'!$D$83-AM297)</f>
        <v>868</v>
      </c>
      <c r="AQ297" s="1064">
        <v>-6.6</v>
      </c>
      <c r="AR297" s="1064"/>
      <c r="AS297" s="1064">
        <f t="shared" si="53"/>
        <v>31</v>
      </c>
      <c r="AT297" s="1064">
        <f>AS297*('Ввод исходных данных'!$D$83-AQ297)</f>
        <v>762.6</v>
      </c>
      <c r="AU297" s="1070">
        <v>1.7</v>
      </c>
      <c r="AV297" s="1070"/>
      <c r="AW297" s="1070">
        <f t="shared" si="54"/>
        <v>30</v>
      </c>
      <c r="AX297" s="1070">
        <f>AW297*('Ввод исходных данных'!$D$83-AU297)</f>
        <v>489</v>
      </c>
      <c r="AY297" s="1071">
        <v>8.5</v>
      </c>
      <c r="AZ297" s="1071"/>
      <c r="BA297" s="1071">
        <f t="shared" si="55"/>
        <v>13.5</v>
      </c>
      <c r="BB297" s="1071">
        <f>BA297*('Ввод исходных данных'!$D$83-AY297)</f>
        <v>128.25</v>
      </c>
      <c r="BC297" s="1072">
        <v>14.4</v>
      </c>
      <c r="BD297" s="1072"/>
      <c r="BE297" s="1072">
        <f t="shared" si="47"/>
        <v>0</v>
      </c>
      <c r="BF297" s="1073">
        <f>BE297*('Ввод исходных данных'!$D$83-BC297)</f>
        <v>0</v>
      </c>
    </row>
    <row r="298" spans="2:58" ht="15.75" customHeight="1" x14ac:dyDescent="0.25">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7638</v>
      </c>
      <c r="J298" s="1059" t="str">
        <f t="shared" si="46"/>
        <v>7000-8000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43.800000000000004</v>
      </c>
      <c r="S298" s="1064">
        <v>5.5</v>
      </c>
      <c r="T298" s="1064"/>
      <c r="U298" s="1064">
        <f t="shared" si="50"/>
        <v>30</v>
      </c>
      <c r="V298" s="1064">
        <f>U298*('Ввод исходных данных'!$D$83-S298)</f>
        <v>375</v>
      </c>
      <c r="W298" s="1065">
        <v>-2.9</v>
      </c>
      <c r="X298" s="1065"/>
      <c r="Y298" s="1065">
        <f t="shared" si="51"/>
        <v>31</v>
      </c>
      <c r="Z298" s="1065">
        <f>Y298*('Ввод исходных данных'!$D$83-W298)</f>
        <v>647.9</v>
      </c>
      <c r="AA298" s="1066">
        <v>-11.9</v>
      </c>
      <c r="AB298" s="1066"/>
      <c r="AC298" s="1066">
        <f t="shared" si="52"/>
        <v>30</v>
      </c>
      <c r="AD298" s="1066">
        <f>AC298*('Ввод исходных данных'!$D$83-AA298)</f>
        <v>897</v>
      </c>
      <c r="AE298" s="1067">
        <v>-16.5</v>
      </c>
      <c r="AF298" s="1067"/>
      <c r="AG298" s="1067">
        <v>31</v>
      </c>
      <c r="AH298" s="1067">
        <f>AG298*('Ввод исходных данных'!$D$83-AE298)</f>
        <v>1069.5</v>
      </c>
      <c r="AI298" s="1068">
        <v>-20</v>
      </c>
      <c r="AJ298" s="1068"/>
      <c r="AK298" s="1068">
        <v>31</v>
      </c>
      <c r="AL298" s="1068">
        <f>AK298*('Ввод исходных данных'!$D$83-AI298)</f>
        <v>1178</v>
      </c>
      <c r="AM298" s="1069">
        <v>-18.899999999999999</v>
      </c>
      <c r="AN298" s="1069"/>
      <c r="AO298" s="1069">
        <v>28</v>
      </c>
      <c r="AP298" s="1069">
        <f>AO298*('Ввод исходных данных'!$D$83-AM298)</f>
        <v>1033.2</v>
      </c>
      <c r="AQ298" s="1064">
        <v>-11.7</v>
      </c>
      <c r="AR298" s="1064"/>
      <c r="AS298" s="1064">
        <f t="shared" si="53"/>
        <v>31</v>
      </c>
      <c r="AT298" s="1064">
        <f>AS298*('Ввод исходных данных'!$D$83-AQ298)</f>
        <v>920.69999999999993</v>
      </c>
      <c r="AU298" s="1070">
        <v>-7.2</v>
      </c>
      <c r="AV298" s="1070"/>
      <c r="AW298" s="1070">
        <f t="shared" si="54"/>
        <v>30</v>
      </c>
      <c r="AX298" s="1070">
        <f>AW298*('Ввод исходных данных'!$D$83-AU298)</f>
        <v>756</v>
      </c>
      <c r="AY298" s="1071">
        <v>0.4</v>
      </c>
      <c r="AZ298" s="1071"/>
      <c r="BA298" s="1071">
        <f t="shared" si="55"/>
        <v>31</v>
      </c>
      <c r="BB298" s="1071">
        <f>BA298*('Ввод исходных данных'!$D$83-AY298)</f>
        <v>545.6</v>
      </c>
      <c r="BC298" s="1072">
        <v>9.1999999999999993</v>
      </c>
      <c r="BD298" s="1072"/>
      <c r="BE298" s="1072">
        <f t="shared" si="47"/>
        <v>6</v>
      </c>
      <c r="BF298" s="1073">
        <f>BE298*('Ввод исходных данных'!$D$83-BC298)</f>
        <v>52.800000000000004</v>
      </c>
    </row>
    <row r="299" spans="2:58" ht="15.75" customHeight="1" x14ac:dyDescent="0.25">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6941.2</v>
      </c>
      <c r="J299" s="1059" t="str">
        <f t="shared" si="46"/>
        <v>6000-7000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322</v>
      </c>
      <c r="W299" s="1065">
        <v>-1.3</v>
      </c>
      <c r="X299" s="1065"/>
      <c r="Y299" s="1065">
        <f t="shared" si="51"/>
        <v>31</v>
      </c>
      <c r="Z299" s="1065">
        <f>Y299*('Ввод исходных данных'!$D$83-W299)</f>
        <v>598.30000000000007</v>
      </c>
      <c r="AA299" s="1066">
        <v>-10.199999999999999</v>
      </c>
      <c r="AB299" s="1066"/>
      <c r="AC299" s="1066">
        <f t="shared" si="52"/>
        <v>30</v>
      </c>
      <c r="AD299" s="1066">
        <f>AC299*('Ввод исходных данных'!$D$83-AA299)</f>
        <v>846</v>
      </c>
      <c r="AE299" s="1067">
        <v>-15.6</v>
      </c>
      <c r="AF299" s="1067"/>
      <c r="AG299" s="1067">
        <v>31</v>
      </c>
      <c r="AH299" s="1067">
        <f>AG299*('Ввод исходных данных'!$D$83-AE299)</f>
        <v>1041.6000000000001</v>
      </c>
      <c r="AI299" s="1068">
        <v>-19.2</v>
      </c>
      <c r="AJ299" s="1068"/>
      <c r="AK299" s="1068">
        <v>31</v>
      </c>
      <c r="AL299" s="1068">
        <f>AK299*('Ввод исходных данных'!$D$83-AI299)</f>
        <v>1153.2</v>
      </c>
      <c r="AM299" s="1069">
        <v>-17.7</v>
      </c>
      <c r="AN299" s="1069"/>
      <c r="AO299" s="1069">
        <v>28</v>
      </c>
      <c r="AP299" s="1069">
        <f>AO299*('Ввод исходных данных'!$D$83-AM299)</f>
        <v>999.60000000000014</v>
      </c>
      <c r="AQ299" s="1064">
        <v>-9</v>
      </c>
      <c r="AR299" s="1064"/>
      <c r="AS299" s="1064">
        <f t="shared" si="53"/>
        <v>31</v>
      </c>
      <c r="AT299" s="1064">
        <f>AS299*('Ввод исходных данных'!$D$83-AQ299)</f>
        <v>837</v>
      </c>
      <c r="AU299" s="1070">
        <v>-3.4</v>
      </c>
      <c r="AV299" s="1070"/>
      <c r="AW299" s="1070">
        <f t="shared" si="54"/>
        <v>30</v>
      </c>
      <c r="AX299" s="1070">
        <f>AW299*('Ввод исходных данных'!$D$83-AU299)</f>
        <v>642</v>
      </c>
      <c r="AY299" s="1071">
        <v>3.6</v>
      </c>
      <c r="AZ299" s="1071"/>
      <c r="BA299" s="1071">
        <f t="shared" si="55"/>
        <v>28</v>
      </c>
      <c r="BB299" s="1071">
        <f>BA299*('Ввод исходных данных'!$D$83-AY299)</f>
        <v>403.2</v>
      </c>
      <c r="BC299" s="1072">
        <v>11.7</v>
      </c>
      <c r="BD299" s="1072"/>
      <c r="BE299" s="1072">
        <f t="shared" si="47"/>
        <v>0</v>
      </c>
      <c r="BF299" s="1073">
        <f>BE299*('Ввод исходных данных'!$D$83-BC299)</f>
        <v>0</v>
      </c>
    </row>
    <row r="300" spans="2:58" ht="15.75" customHeight="1" x14ac:dyDescent="0.25">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5734.8</v>
      </c>
      <c r="J300" s="1059" t="str">
        <f t="shared" si="46"/>
        <v>5000-6000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156.54999999999998</v>
      </c>
      <c r="W300" s="1065">
        <v>1</v>
      </c>
      <c r="X300" s="1065"/>
      <c r="Y300" s="1065">
        <f t="shared" si="51"/>
        <v>31</v>
      </c>
      <c r="Z300" s="1065">
        <f>Y300*('Ввод исходных данных'!$D$83-W300)</f>
        <v>527</v>
      </c>
      <c r="AA300" s="1066">
        <v>-6.5</v>
      </c>
      <c r="AB300" s="1066"/>
      <c r="AC300" s="1066">
        <f t="shared" si="52"/>
        <v>30</v>
      </c>
      <c r="AD300" s="1066">
        <f>AC300*('Ввод исходных данных'!$D$83-AA300)</f>
        <v>735</v>
      </c>
      <c r="AE300" s="1067">
        <v>-11.9</v>
      </c>
      <c r="AF300" s="1067"/>
      <c r="AG300" s="1067">
        <v>31</v>
      </c>
      <c r="AH300" s="1067">
        <f>AG300*('Ввод исходных данных'!$D$83-AE300)</f>
        <v>926.9</v>
      </c>
      <c r="AI300" s="1068">
        <v>-15.2</v>
      </c>
      <c r="AJ300" s="1068"/>
      <c r="AK300" s="1068">
        <v>31</v>
      </c>
      <c r="AL300" s="1068">
        <f>AK300*('Ввод исходных данных'!$D$83-AI300)</f>
        <v>1029.2</v>
      </c>
      <c r="AM300" s="1069">
        <v>-13.2</v>
      </c>
      <c r="AN300" s="1069"/>
      <c r="AO300" s="1069">
        <v>28</v>
      </c>
      <c r="AP300" s="1069">
        <f>AO300*('Ввод исходных данных'!$D$83-AM300)</f>
        <v>873.6</v>
      </c>
      <c r="AQ300" s="1064">
        <v>-5.3</v>
      </c>
      <c r="AR300" s="1064"/>
      <c r="AS300" s="1064">
        <f t="shared" si="53"/>
        <v>31</v>
      </c>
      <c r="AT300" s="1064">
        <f>AS300*('Ввод исходных данных'!$D$83-AQ300)</f>
        <v>722.30000000000007</v>
      </c>
      <c r="AU300" s="1070">
        <v>1.5</v>
      </c>
      <c r="AV300" s="1070"/>
      <c r="AW300" s="1070">
        <f t="shared" si="54"/>
        <v>30</v>
      </c>
      <c r="AX300" s="1070">
        <f>AW300*('Ввод исходных данных'!$D$83-AU300)</f>
        <v>495</v>
      </c>
      <c r="AY300" s="1071">
        <v>8.1999999999999993</v>
      </c>
      <c r="AZ300" s="1071"/>
      <c r="BA300" s="1071">
        <f t="shared" si="55"/>
        <v>15.5</v>
      </c>
      <c r="BB300" s="1071">
        <f>BA300*('Ввод исходных данных'!$D$83-AY300)</f>
        <v>151.9</v>
      </c>
      <c r="BC300" s="1072">
        <v>14.3</v>
      </c>
      <c r="BD300" s="1072"/>
      <c r="BE300" s="1072">
        <f t="shared" si="47"/>
        <v>0</v>
      </c>
      <c r="BF300" s="1073">
        <f>BE300*('Ввод исходных данных'!$D$83-BC300)</f>
        <v>0</v>
      </c>
    </row>
    <row r="301" spans="2:58" ht="15.75" customHeight="1" x14ac:dyDescent="0.25">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6424.2</v>
      </c>
      <c r="J301" s="1059" t="str">
        <f t="shared" si="46"/>
        <v>6000-7000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257.59999999999997</v>
      </c>
      <c r="W301" s="1065">
        <v>-0.5</v>
      </c>
      <c r="X301" s="1065"/>
      <c r="Y301" s="1065">
        <f t="shared" si="51"/>
        <v>31</v>
      </c>
      <c r="Z301" s="1065">
        <f>Y301*('Ввод исходных данных'!$D$83-W301)</f>
        <v>573.5</v>
      </c>
      <c r="AA301" s="1066">
        <v>-8.8000000000000007</v>
      </c>
      <c r="AB301" s="1066"/>
      <c r="AC301" s="1066">
        <f t="shared" si="52"/>
        <v>30</v>
      </c>
      <c r="AD301" s="1066">
        <f>AC301*('Ввод исходных данных'!$D$83-AA301)</f>
        <v>804</v>
      </c>
      <c r="AE301" s="1067">
        <v>-14.6</v>
      </c>
      <c r="AF301" s="1067"/>
      <c r="AG301" s="1067">
        <v>31</v>
      </c>
      <c r="AH301" s="1067">
        <f>AG301*('Ввод исходных данных'!$D$83-AE301)</f>
        <v>1010.6</v>
      </c>
      <c r="AI301" s="1068">
        <v>-17.899999999999999</v>
      </c>
      <c r="AJ301" s="1068"/>
      <c r="AK301" s="1068">
        <v>31</v>
      </c>
      <c r="AL301" s="1068">
        <f>AK301*('Ввод исходных данных'!$D$83-AI301)</f>
        <v>1112.8999999999999</v>
      </c>
      <c r="AM301" s="1069">
        <v>-15.9</v>
      </c>
      <c r="AN301" s="1069"/>
      <c r="AO301" s="1069">
        <v>28</v>
      </c>
      <c r="AP301" s="1069">
        <f>AO301*('Ввод исходных данных'!$D$83-AM301)</f>
        <v>949.19999999999993</v>
      </c>
      <c r="AQ301" s="1064">
        <v>-6.9</v>
      </c>
      <c r="AR301" s="1064"/>
      <c r="AS301" s="1064">
        <f t="shared" si="53"/>
        <v>31</v>
      </c>
      <c r="AT301" s="1064">
        <f>AS301*('Ввод исходных данных'!$D$83-AQ301)</f>
        <v>771.9</v>
      </c>
      <c r="AU301" s="1070">
        <v>-0.4</v>
      </c>
      <c r="AV301" s="1070"/>
      <c r="AW301" s="1070">
        <f t="shared" si="54"/>
        <v>30</v>
      </c>
      <c r="AX301" s="1070">
        <f>AW301*('Ввод исходных данных'!$D$83-AU301)</f>
        <v>552</v>
      </c>
      <c r="AY301" s="1071">
        <v>6.1</v>
      </c>
      <c r="AZ301" s="1071"/>
      <c r="BA301" s="1071">
        <f t="shared" si="55"/>
        <v>23</v>
      </c>
      <c r="BB301" s="1071">
        <f>BA301*('Ввод исходных данных'!$D$83-AY301)</f>
        <v>273.7</v>
      </c>
      <c r="BC301" s="1072">
        <v>13</v>
      </c>
      <c r="BD301" s="1072"/>
      <c r="BE301" s="1072">
        <f t="shared" si="47"/>
        <v>0</v>
      </c>
      <c r="BF301" s="1073">
        <f>BE301*('Ввод исходных данных'!$D$83-BC301)</f>
        <v>0</v>
      </c>
    </row>
    <row r="302" spans="2:58" ht="15.75" customHeight="1" x14ac:dyDescent="0.25">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7200.2</v>
      </c>
      <c r="J302" s="1059" t="str">
        <f t="shared" si="46"/>
        <v>7000-8000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17.5</v>
      </c>
      <c r="S302" s="1064">
        <v>5.9</v>
      </c>
      <c r="T302" s="1064"/>
      <c r="U302" s="1064">
        <f t="shared" si="50"/>
        <v>30</v>
      </c>
      <c r="V302" s="1064">
        <f>U302*('Ввод исходных данных'!$D$83-S302)</f>
        <v>363</v>
      </c>
      <c r="W302" s="1065">
        <v>-1.9</v>
      </c>
      <c r="X302" s="1065"/>
      <c r="Y302" s="1065">
        <f t="shared" si="51"/>
        <v>31</v>
      </c>
      <c r="Z302" s="1065">
        <f>Y302*('Ввод исходных данных'!$D$83-W302)</f>
        <v>616.9</v>
      </c>
      <c r="AA302" s="1066">
        <v>-10.4</v>
      </c>
      <c r="AB302" s="1066"/>
      <c r="AC302" s="1066">
        <f t="shared" si="52"/>
        <v>30</v>
      </c>
      <c r="AD302" s="1066">
        <f>AC302*('Ввод исходных данных'!$D$83-AA302)</f>
        <v>852</v>
      </c>
      <c r="AE302" s="1067">
        <v>-15.4</v>
      </c>
      <c r="AF302" s="1067"/>
      <c r="AG302" s="1067">
        <v>31</v>
      </c>
      <c r="AH302" s="1067">
        <f>AG302*('Ввод исходных данных'!$D$83-AE302)</f>
        <v>1035.3999999999999</v>
      </c>
      <c r="AI302" s="1068">
        <v>-19</v>
      </c>
      <c r="AJ302" s="1068"/>
      <c r="AK302" s="1068">
        <v>31</v>
      </c>
      <c r="AL302" s="1068">
        <f>AK302*('Ввод исходных данных'!$D$83-AI302)</f>
        <v>1147</v>
      </c>
      <c r="AM302" s="1069">
        <v>-17.8</v>
      </c>
      <c r="AN302" s="1069"/>
      <c r="AO302" s="1069">
        <v>28</v>
      </c>
      <c r="AP302" s="1069">
        <f>AO302*('Ввод исходных данных'!$D$83-AM302)</f>
        <v>1002.3999999999999</v>
      </c>
      <c r="AQ302" s="1064">
        <v>-9.6999999999999993</v>
      </c>
      <c r="AR302" s="1064"/>
      <c r="AS302" s="1064">
        <f t="shared" si="53"/>
        <v>31</v>
      </c>
      <c r="AT302" s="1064">
        <f>AS302*('Ввод исходных данных'!$D$83-AQ302)</f>
        <v>858.69999999999993</v>
      </c>
      <c r="AU302" s="1070">
        <v>-4.8</v>
      </c>
      <c r="AV302" s="1070"/>
      <c r="AW302" s="1070">
        <f t="shared" si="54"/>
        <v>30</v>
      </c>
      <c r="AX302" s="1070">
        <f>AW302*('Ввод исходных данных'!$D$83-AU302)</f>
        <v>684</v>
      </c>
      <c r="AY302" s="1071">
        <v>1.9</v>
      </c>
      <c r="AZ302" s="1071"/>
      <c r="BA302" s="1071">
        <f t="shared" si="55"/>
        <v>31</v>
      </c>
      <c r="BB302" s="1071">
        <f>BA302*('Ввод исходных данных'!$D$83-AY302)</f>
        <v>499.1</v>
      </c>
      <c r="BC302" s="1072">
        <v>10.1</v>
      </c>
      <c r="BD302" s="1072"/>
      <c r="BE302" s="1072">
        <f t="shared" si="47"/>
        <v>2.5</v>
      </c>
      <c r="BF302" s="1073">
        <f>BE302*('Ввод исходных данных'!$D$83-BC302)</f>
        <v>19.75</v>
      </c>
    </row>
    <row r="303" spans="2:58" ht="15.75" customHeight="1" x14ac:dyDescent="0.25">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6723</v>
      </c>
      <c r="J303" s="1059" t="str">
        <f t="shared" si="46"/>
        <v>6000-7000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336.4</v>
      </c>
      <c r="W303" s="1065">
        <v>-0.9</v>
      </c>
      <c r="X303" s="1065"/>
      <c r="Y303" s="1065">
        <f t="shared" si="51"/>
        <v>31</v>
      </c>
      <c r="Z303" s="1065">
        <f>Y303*('Ввод исходных данных'!$D$83-W303)</f>
        <v>585.9</v>
      </c>
      <c r="AA303" s="1066">
        <v>-8.9</v>
      </c>
      <c r="AB303" s="1066"/>
      <c r="AC303" s="1066">
        <f t="shared" si="52"/>
        <v>30</v>
      </c>
      <c r="AD303" s="1066">
        <f>AC303*('Ввод исходных данных'!$D$83-AA303)</f>
        <v>807</v>
      </c>
      <c r="AE303" s="1067">
        <v>-13.8</v>
      </c>
      <c r="AF303" s="1067"/>
      <c r="AG303" s="1067">
        <v>31</v>
      </c>
      <c r="AH303" s="1067">
        <f>AG303*('Ввод исходных данных'!$D$83-AE303)</f>
        <v>985.80000000000007</v>
      </c>
      <c r="AI303" s="1068">
        <v>-17.7</v>
      </c>
      <c r="AJ303" s="1068"/>
      <c r="AK303" s="1068">
        <v>31</v>
      </c>
      <c r="AL303" s="1068">
        <f>AK303*('Ввод исходных данных'!$D$83-AI303)</f>
        <v>1106.7</v>
      </c>
      <c r="AM303" s="1069">
        <v>-15.8</v>
      </c>
      <c r="AN303" s="1069"/>
      <c r="AO303" s="1069">
        <v>28</v>
      </c>
      <c r="AP303" s="1069">
        <f>AO303*('Ввод исходных данных'!$D$83-AM303)</f>
        <v>946.39999999999986</v>
      </c>
      <c r="AQ303" s="1064">
        <v>-8.1</v>
      </c>
      <c r="AR303" s="1064"/>
      <c r="AS303" s="1064">
        <f t="shared" si="53"/>
        <v>31</v>
      </c>
      <c r="AT303" s="1064">
        <f>AS303*('Ввод исходных данных'!$D$83-AQ303)</f>
        <v>809.1</v>
      </c>
      <c r="AU303" s="1070">
        <v>-2.8</v>
      </c>
      <c r="AV303" s="1070"/>
      <c r="AW303" s="1070">
        <f t="shared" si="54"/>
        <v>30</v>
      </c>
      <c r="AX303" s="1070">
        <f>AW303*('Ввод исходных данных'!$D$83-AU303)</f>
        <v>624</v>
      </c>
      <c r="AY303" s="1071">
        <v>3.7</v>
      </c>
      <c r="AZ303" s="1071"/>
      <c r="BA303" s="1071">
        <f t="shared" si="55"/>
        <v>29</v>
      </c>
      <c r="BB303" s="1071">
        <f>BA303*('Ввод исходных данных'!$D$83-AY303)</f>
        <v>414.70000000000005</v>
      </c>
      <c r="BC303" s="1072">
        <v>11.2</v>
      </c>
      <c r="BD303" s="1072"/>
      <c r="BE303" s="1072">
        <f t="shared" si="47"/>
        <v>0</v>
      </c>
      <c r="BF303" s="1073">
        <f>BE303*('Ввод исходных данных'!$D$83-BC303)</f>
        <v>0</v>
      </c>
    </row>
    <row r="304" spans="2:58" ht="15.75" customHeight="1" x14ac:dyDescent="0.25">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6941.2</v>
      </c>
      <c r="J304" s="1059" t="str">
        <f t="shared" si="46"/>
        <v>6000-7000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324.8</v>
      </c>
      <c r="W304" s="1065">
        <v>-1.8</v>
      </c>
      <c r="X304" s="1065"/>
      <c r="Y304" s="1065">
        <f t="shared" si="51"/>
        <v>31</v>
      </c>
      <c r="Z304" s="1065">
        <f>Y304*('Ввод исходных данных'!$D$83-W304)</f>
        <v>613.80000000000007</v>
      </c>
      <c r="AA304" s="1066">
        <v>-10.199999999999999</v>
      </c>
      <c r="AB304" s="1066"/>
      <c r="AC304" s="1066">
        <f t="shared" si="52"/>
        <v>30</v>
      </c>
      <c r="AD304" s="1066">
        <f>AC304*('Ввод исходных данных'!$D$83-AA304)</f>
        <v>846</v>
      </c>
      <c r="AE304" s="1067">
        <v>-16.899999999999999</v>
      </c>
      <c r="AF304" s="1067"/>
      <c r="AG304" s="1067">
        <v>31</v>
      </c>
      <c r="AH304" s="1067">
        <f>AG304*('Ввод исходных данных'!$D$83-AE304)</f>
        <v>1081.8999999999999</v>
      </c>
      <c r="AI304" s="1068">
        <v>-19.7</v>
      </c>
      <c r="AJ304" s="1068"/>
      <c r="AK304" s="1068">
        <v>31</v>
      </c>
      <c r="AL304" s="1068">
        <f>AK304*('Ввод исходных данных'!$D$83-AI304)</f>
        <v>1168.7</v>
      </c>
      <c r="AM304" s="1069">
        <v>-17.7</v>
      </c>
      <c r="AN304" s="1069"/>
      <c r="AO304" s="1069">
        <v>28</v>
      </c>
      <c r="AP304" s="1069">
        <f>AO304*('Ввод исходных данных'!$D$83-AM304)</f>
        <v>999.60000000000014</v>
      </c>
      <c r="AQ304" s="1064">
        <v>-12</v>
      </c>
      <c r="AR304" s="1064"/>
      <c r="AS304" s="1064">
        <f t="shared" si="53"/>
        <v>31</v>
      </c>
      <c r="AT304" s="1064">
        <f>AS304*('Ввод исходных данных'!$D$83-AQ304)</f>
        <v>930</v>
      </c>
      <c r="AU304" s="1070">
        <v>-2.4</v>
      </c>
      <c r="AV304" s="1070"/>
      <c r="AW304" s="1070">
        <f t="shared" si="54"/>
        <v>30</v>
      </c>
      <c r="AX304" s="1070">
        <f>AW304*('Ввод исходных данных'!$D$83-AU304)</f>
        <v>612</v>
      </c>
      <c r="AY304" s="1071">
        <v>3.7</v>
      </c>
      <c r="AZ304" s="1071"/>
      <c r="BA304" s="1071">
        <f t="shared" si="55"/>
        <v>28</v>
      </c>
      <c r="BB304" s="1071">
        <f>BA304*('Ввод исходных данных'!$D$83-AY304)</f>
        <v>400.40000000000003</v>
      </c>
      <c r="BC304" s="1072">
        <v>11.4</v>
      </c>
      <c r="BD304" s="1072"/>
      <c r="BE304" s="1072">
        <f t="shared" si="47"/>
        <v>0</v>
      </c>
      <c r="BF304" s="1073">
        <f>BE304*('Ввод исходных данных'!$D$83-BC304)</f>
        <v>0</v>
      </c>
    </row>
    <row r="305" spans="2:58" ht="15.75" customHeight="1" x14ac:dyDescent="0.25">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6368.4</v>
      </c>
      <c r="J305" s="1059" t="str">
        <f t="shared" si="46"/>
        <v>6000-7000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279.3</v>
      </c>
      <c r="W305" s="1065">
        <v>-1.4</v>
      </c>
      <c r="X305" s="1065"/>
      <c r="Y305" s="1065">
        <f t="shared" si="51"/>
        <v>31</v>
      </c>
      <c r="Z305" s="1065">
        <f>Y305*('Ввод исходных данных'!$D$83-W305)</f>
        <v>601.4</v>
      </c>
      <c r="AA305" s="1066">
        <v>-8.5</v>
      </c>
      <c r="AB305" s="1066"/>
      <c r="AC305" s="1066">
        <f t="shared" si="52"/>
        <v>30</v>
      </c>
      <c r="AD305" s="1066">
        <f>AC305*('Ввод исходных данных'!$D$83-AA305)</f>
        <v>795</v>
      </c>
      <c r="AE305" s="1067">
        <v>-13.6</v>
      </c>
      <c r="AF305" s="1067"/>
      <c r="AG305" s="1067">
        <v>31</v>
      </c>
      <c r="AH305" s="1067">
        <f>AG305*('Ввод исходных данных'!$D$83-AE305)</f>
        <v>979.6</v>
      </c>
      <c r="AI305" s="1068">
        <v>-17.3</v>
      </c>
      <c r="AJ305" s="1068"/>
      <c r="AK305" s="1068">
        <v>31</v>
      </c>
      <c r="AL305" s="1068">
        <f>AK305*('Ввод исходных данных'!$D$83-AI305)</f>
        <v>1094.3</v>
      </c>
      <c r="AM305" s="1069">
        <v>-15.8</v>
      </c>
      <c r="AN305" s="1069"/>
      <c r="AO305" s="1069">
        <v>28</v>
      </c>
      <c r="AP305" s="1069">
        <f>AO305*('Ввод исходных данных'!$D$83-AM305)</f>
        <v>946.39999999999986</v>
      </c>
      <c r="AQ305" s="1064">
        <v>-8.9</v>
      </c>
      <c r="AR305" s="1064"/>
      <c r="AS305" s="1064">
        <f t="shared" si="53"/>
        <v>31</v>
      </c>
      <c r="AT305" s="1064">
        <f>AS305*('Ввод исходных данных'!$D$83-AQ305)</f>
        <v>833.9</v>
      </c>
      <c r="AU305" s="1070">
        <v>-0.5</v>
      </c>
      <c r="AV305" s="1070"/>
      <c r="AW305" s="1070">
        <f t="shared" si="54"/>
        <v>30</v>
      </c>
      <c r="AX305" s="1070">
        <f>AW305*('Ввод исходных данных'!$D$83-AU305)</f>
        <v>555</v>
      </c>
      <c r="AY305" s="1071">
        <v>5.4</v>
      </c>
      <c r="AZ305" s="1071"/>
      <c r="BA305" s="1071">
        <f t="shared" si="55"/>
        <v>24.5</v>
      </c>
      <c r="BB305" s="1071">
        <f>BA305*('Ввод исходных данных'!$D$83-AY305)</f>
        <v>308.7</v>
      </c>
      <c r="BC305" s="1072">
        <v>12.1</v>
      </c>
      <c r="BD305" s="1072"/>
      <c r="BE305" s="1072">
        <f t="shared" si="47"/>
        <v>0</v>
      </c>
      <c r="BF305" s="1073">
        <f>BE305*('Ввод исходных данных'!$D$83-BC305)</f>
        <v>0</v>
      </c>
    </row>
    <row r="306" spans="2:58" ht="15.75" customHeight="1" x14ac:dyDescent="0.25">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4923.5</v>
      </c>
      <c r="J306" s="1059" t="str">
        <f t="shared" si="46"/>
        <v>4000-5000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11.549999999999999</v>
      </c>
      <c r="W306" s="1065">
        <v>3.4</v>
      </c>
      <c r="X306" s="1065"/>
      <c r="Y306" s="1065">
        <f t="shared" si="51"/>
        <v>31</v>
      </c>
      <c r="Z306" s="1065">
        <f>Y306*('Ввод исходных данных'!$D$83-W306)</f>
        <v>452.59999999999997</v>
      </c>
      <c r="AA306" s="1066">
        <v>-3.7</v>
      </c>
      <c r="AB306" s="1066"/>
      <c r="AC306" s="1066">
        <f t="shared" si="52"/>
        <v>30</v>
      </c>
      <c r="AD306" s="1066">
        <f>AC306*('Ввод исходных данных'!$D$83-AA306)</f>
        <v>651</v>
      </c>
      <c r="AE306" s="1067">
        <v>-9.4</v>
      </c>
      <c r="AF306" s="1067"/>
      <c r="AG306" s="1067">
        <v>31</v>
      </c>
      <c r="AH306" s="1067">
        <f>AG306*('Ввод исходных данных'!$D$83-AE306)</f>
        <v>849.4</v>
      </c>
      <c r="AI306" s="1068">
        <v>-12.1</v>
      </c>
      <c r="AJ306" s="1068"/>
      <c r="AK306" s="1068">
        <v>31</v>
      </c>
      <c r="AL306" s="1068">
        <f>AK306*('Ввод исходных данных'!$D$83-AI306)</f>
        <v>933.1</v>
      </c>
      <c r="AM306" s="1069">
        <v>-11.4</v>
      </c>
      <c r="AN306" s="1069"/>
      <c r="AO306" s="1069">
        <v>28</v>
      </c>
      <c r="AP306" s="1069">
        <f>AO306*('Ввод исходных данных'!$D$83-AM306)</f>
        <v>823.19999999999993</v>
      </c>
      <c r="AQ306" s="1064">
        <v>-4.5999999999999996</v>
      </c>
      <c r="AR306" s="1064"/>
      <c r="AS306" s="1064">
        <f t="shared" si="53"/>
        <v>31</v>
      </c>
      <c r="AT306" s="1064">
        <f>AS306*('Ввод исходных данных'!$D$83-AQ306)</f>
        <v>700.6</v>
      </c>
      <c r="AU306" s="1070">
        <v>4.7</v>
      </c>
      <c r="AV306" s="1070"/>
      <c r="AW306" s="1070">
        <f t="shared" si="54"/>
        <v>30</v>
      </c>
      <c r="AX306" s="1070">
        <f>AW306*('Ввод исходных данных'!$D$83-AU306)</f>
        <v>399</v>
      </c>
      <c r="AY306" s="1071">
        <v>12</v>
      </c>
      <c r="AZ306" s="1071"/>
      <c r="BA306" s="1071">
        <f t="shared" si="55"/>
        <v>1.5</v>
      </c>
      <c r="BB306" s="1071">
        <f>BA306*('Ввод исходных данных'!$D$83-AY306)</f>
        <v>9</v>
      </c>
      <c r="BC306" s="1072">
        <v>16.5</v>
      </c>
      <c r="BD306" s="1072"/>
      <c r="BE306" s="1072">
        <f t="shared" si="47"/>
        <v>0</v>
      </c>
      <c r="BF306" s="1073">
        <f>BE306*('Ввод исходных данных'!$D$83-BC306)</f>
        <v>0</v>
      </c>
    </row>
    <row r="307" spans="2:58" ht="15.75" customHeight="1" x14ac:dyDescent="0.25">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4702.5</v>
      </c>
      <c r="J307" s="1059" t="str">
        <f t="shared" si="46"/>
        <v>4000-5000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403.1</v>
      </c>
      <c r="AA307" s="1066">
        <v>-3</v>
      </c>
      <c r="AB307" s="1066"/>
      <c r="AC307" s="1066">
        <f t="shared" si="52"/>
        <v>30</v>
      </c>
      <c r="AD307" s="1066">
        <f>AC307*('Ввод исходных данных'!$D$83-AA307)</f>
        <v>630</v>
      </c>
      <c r="AE307" s="1067">
        <v>-8.6999999999999993</v>
      </c>
      <c r="AF307" s="1067"/>
      <c r="AG307" s="1067">
        <v>31</v>
      </c>
      <c r="AH307" s="1067">
        <f>AG307*('Ввод исходных данных'!$D$83-AE307)</f>
        <v>827.69999999999993</v>
      </c>
      <c r="AI307" s="1068">
        <v>-12.3</v>
      </c>
      <c r="AJ307" s="1068"/>
      <c r="AK307" s="1068">
        <v>31</v>
      </c>
      <c r="AL307" s="1068">
        <f>AK307*('Ввод исходных данных'!$D$83-AI307)</f>
        <v>939.30000000000007</v>
      </c>
      <c r="AM307" s="1069">
        <v>-11.7</v>
      </c>
      <c r="AN307" s="1069"/>
      <c r="AO307" s="1069">
        <v>28</v>
      </c>
      <c r="AP307" s="1069">
        <f>AO307*('Ввод исходных данных'!$D$83-AM307)</f>
        <v>831.6</v>
      </c>
      <c r="AQ307" s="1064">
        <v>-5.9</v>
      </c>
      <c r="AR307" s="1064"/>
      <c r="AS307" s="1064">
        <f t="shared" si="53"/>
        <v>31</v>
      </c>
      <c r="AT307" s="1064">
        <f>AS307*('Ввод исходных данных'!$D$83-AQ307)</f>
        <v>740.9</v>
      </c>
      <c r="AU307" s="1070">
        <v>4.8</v>
      </c>
      <c r="AV307" s="1070"/>
      <c r="AW307" s="1070">
        <f t="shared" si="54"/>
        <v>29</v>
      </c>
      <c r="AX307" s="1070">
        <f>AW307*('Ввод исходных данных'!$D$83-AU307)</f>
        <v>382.79999999999995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25">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8310.8000000000011</v>
      </c>
      <c r="J308" s="1059" t="str">
        <f t="shared" si="46"/>
        <v>8000-9000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334.05</v>
      </c>
      <c r="W308" s="1065">
        <v>-6.5</v>
      </c>
      <c r="X308" s="1065"/>
      <c r="Y308" s="1065">
        <f t="shared" si="51"/>
        <v>31</v>
      </c>
      <c r="Z308" s="1065">
        <f>Y308*('Ввод исходных данных'!$D$83-W308)</f>
        <v>759.5</v>
      </c>
      <c r="AA308" s="1066">
        <v>-19</v>
      </c>
      <c r="AB308" s="1066"/>
      <c r="AC308" s="1066">
        <f t="shared" si="52"/>
        <v>30</v>
      </c>
      <c r="AD308" s="1066">
        <f>AC308*('Ввод исходных данных'!$D$83-AA308)</f>
        <v>1110</v>
      </c>
      <c r="AE308" s="1067">
        <v>-25.4</v>
      </c>
      <c r="AF308" s="1067"/>
      <c r="AG308" s="1067">
        <v>31</v>
      </c>
      <c r="AH308" s="1067">
        <f>AG308*('Ввод исходных данных'!$D$83-AE308)</f>
        <v>1345.3999999999999</v>
      </c>
      <c r="AI308" s="1068">
        <v>-26.7</v>
      </c>
      <c r="AJ308" s="1068"/>
      <c r="AK308" s="1068">
        <v>31</v>
      </c>
      <c r="AL308" s="1068">
        <f>AK308*('Ввод исходных данных'!$D$83-AI308)</f>
        <v>1385.7</v>
      </c>
      <c r="AM308" s="1069">
        <v>-24.3</v>
      </c>
      <c r="AN308" s="1069"/>
      <c r="AO308" s="1069">
        <v>28</v>
      </c>
      <c r="AP308" s="1069">
        <f>AO308*('Ввод исходных данных'!$D$83-AM308)</f>
        <v>1184.3999999999999</v>
      </c>
      <c r="AQ308" s="1064">
        <v>-15.5</v>
      </c>
      <c r="AR308" s="1064"/>
      <c r="AS308" s="1064">
        <f t="shared" si="53"/>
        <v>31</v>
      </c>
      <c r="AT308" s="1064">
        <f>AS308*('Ввод исходных данных'!$D$83-AQ308)</f>
        <v>1038.5</v>
      </c>
      <c r="AU308" s="1070">
        <v>-4.5</v>
      </c>
      <c r="AV308" s="1070"/>
      <c r="AW308" s="1070">
        <f t="shared" si="54"/>
        <v>30</v>
      </c>
      <c r="AX308" s="1070">
        <f>AW308*('Ввод исходных данных'!$D$83-AU308)</f>
        <v>675</v>
      </c>
      <c r="AY308" s="1071">
        <v>4.9000000000000004</v>
      </c>
      <c r="AZ308" s="1071"/>
      <c r="BA308" s="1071">
        <f t="shared" si="55"/>
        <v>25.5</v>
      </c>
      <c r="BB308" s="1071">
        <f>BA308*('Ввод исходных данных'!$D$83-AY308)</f>
        <v>334.05</v>
      </c>
      <c r="BC308" s="1072">
        <v>13.5</v>
      </c>
      <c r="BD308" s="1072"/>
      <c r="BE308" s="1072">
        <f t="shared" si="47"/>
        <v>0</v>
      </c>
      <c r="BF308" s="1073">
        <f>BE308*('Ввод исходных данных'!$D$83-BC308)</f>
        <v>0</v>
      </c>
    </row>
    <row r="309" spans="2:58" ht="15.75" customHeight="1" x14ac:dyDescent="0.25">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11032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23.099999999999998</v>
      </c>
      <c r="S309" s="1064">
        <v>3.5</v>
      </c>
      <c r="T309" s="1064"/>
      <c r="U309" s="1064">
        <f t="shared" si="50"/>
        <v>30</v>
      </c>
      <c r="V309" s="1064">
        <f>U309*('Ввод исходных данных'!$D$83-S309)</f>
        <v>435</v>
      </c>
      <c r="W309" s="1065">
        <v>-12.2</v>
      </c>
      <c r="X309" s="1065"/>
      <c r="Y309" s="1065">
        <f t="shared" si="51"/>
        <v>31</v>
      </c>
      <c r="Z309" s="1065">
        <f>Y309*('Ввод исходных данных'!$D$83-W309)</f>
        <v>936.19999999999993</v>
      </c>
      <c r="AA309" s="1066">
        <v>-32.200000000000003</v>
      </c>
      <c r="AB309" s="1066"/>
      <c r="AC309" s="1066">
        <f t="shared" si="52"/>
        <v>30</v>
      </c>
      <c r="AD309" s="1066">
        <f>AC309*('Ввод исходных данных'!$D$83-AA309)</f>
        <v>1506</v>
      </c>
      <c r="AE309" s="1067">
        <v>-42.7</v>
      </c>
      <c r="AF309" s="1067"/>
      <c r="AG309" s="1067">
        <v>31</v>
      </c>
      <c r="AH309" s="1067">
        <f>AG309*('Ввод исходных данных'!$D$83-AE309)</f>
        <v>1881.7</v>
      </c>
      <c r="AI309" s="1068">
        <v>-44.1</v>
      </c>
      <c r="AJ309" s="1068"/>
      <c r="AK309" s="1068">
        <v>31</v>
      </c>
      <c r="AL309" s="1068">
        <f>AK309*('Ввод исходных данных'!$D$83-AI309)</f>
        <v>1925.1000000000001</v>
      </c>
      <c r="AM309" s="1069">
        <v>-39.200000000000003</v>
      </c>
      <c r="AN309" s="1069"/>
      <c r="AO309" s="1069">
        <v>28</v>
      </c>
      <c r="AP309" s="1069">
        <f>AO309*('Ввод исходных данных'!$D$83-AM309)</f>
        <v>1601.6000000000001</v>
      </c>
      <c r="AQ309" s="1064">
        <v>-26.6</v>
      </c>
      <c r="AR309" s="1064"/>
      <c r="AS309" s="1064">
        <f t="shared" si="53"/>
        <v>31</v>
      </c>
      <c r="AT309" s="1064">
        <f>AS309*('Ввод исходных данных'!$D$83-AQ309)</f>
        <v>1382.6000000000001</v>
      </c>
      <c r="AU309" s="1070">
        <v>-11.4</v>
      </c>
      <c r="AV309" s="1070"/>
      <c r="AW309" s="1070">
        <f t="shared" si="54"/>
        <v>30</v>
      </c>
      <c r="AX309" s="1070">
        <f>AW309*('Ввод исходных данных'!$D$83-AU309)</f>
        <v>882</v>
      </c>
      <c r="AY309" s="1071">
        <v>2.2999999999999998</v>
      </c>
      <c r="AZ309" s="1071"/>
      <c r="BA309" s="1071">
        <f t="shared" si="55"/>
        <v>31</v>
      </c>
      <c r="BB309" s="1071">
        <f>BA309*('Ввод исходных данных'!$D$83-AY309)</f>
        <v>486.7</v>
      </c>
      <c r="BC309" s="1072">
        <v>10.9</v>
      </c>
      <c r="BD309" s="1072"/>
      <c r="BE309" s="1072">
        <f t="shared" si="47"/>
        <v>3.5</v>
      </c>
      <c r="BF309" s="1073">
        <f>BE309*('Ввод исходных данных'!$D$83-BC309)</f>
        <v>24.849999999999998</v>
      </c>
    </row>
    <row r="310" spans="2:58" ht="15.75" customHeight="1" x14ac:dyDescent="0.25">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10178.699999999999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298.45</v>
      </c>
      <c r="W310" s="1065">
        <v>-8.9</v>
      </c>
      <c r="X310" s="1065"/>
      <c r="Y310" s="1065">
        <f t="shared" si="51"/>
        <v>31</v>
      </c>
      <c r="Z310" s="1065">
        <f>Y310*('Ввод исходных данных'!$D$83-W310)</f>
        <v>833.9</v>
      </c>
      <c r="AA310" s="1066">
        <v>-29.6</v>
      </c>
      <c r="AB310" s="1066"/>
      <c r="AC310" s="1066">
        <f t="shared" si="52"/>
        <v>30</v>
      </c>
      <c r="AD310" s="1066">
        <f>AC310*('Ввод исходных данных'!$D$83-AA310)</f>
        <v>1428</v>
      </c>
      <c r="AE310" s="1067">
        <v>-40.6</v>
      </c>
      <c r="AF310" s="1067"/>
      <c r="AG310" s="1067">
        <v>31</v>
      </c>
      <c r="AH310" s="1067">
        <f>AG310*('Ввод исходных данных'!$D$83-AE310)</f>
        <v>1816.6000000000001</v>
      </c>
      <c r="AI310" s="1068">
        <v>-42.9</v>
      </c>
      <c r="AJ310" s="1068"/>
      <c r="AK310" s="1068">
        <v>31</v>
      </c>
      <c r="AL310" s="1068">
        <f>AK310*('Ввод исходных данных'!$D$83-AI310)</f>
        <v>1887.8999999999999</v>
      </c>
      <c r="AM310" s="1069">
        <v>-38</v>
      </c>
      <c r="AN310" s="1069"/>
      <c r="AO310" s="1069">
        <v>28</v>
      </c>
      <c r="AP310" s="1069">
        <f>AO310*('Ввод исходных данных'!$D$83-AM310)</f>
        <v>1568</v>
      </c>
      <c r="AQ310" s="1064">
        <v>-24</v>
      </c>
      <c r="AR310" s="1064"/>
      <c r="AS310" s="1064">
        <f t="shared" si="53"/>
        <v>31</v>
      </c>
      <c r="AT310" s="1064">
        <f>AS310*('Ввод исходных данных'!$D$83-AQ310)</f>
        <v>1302</v>
      </c>
      <c r="AU310" s="1070">
        <v>-7.5</v>
      </c>
      <c r="AV310" s="1070"/>
      <c r="AW310" s="1070">
        <f t="shared" si="54"/>
        <v>30</v>
      </c>
      <c r="AX310" s="1070">
        <f>AW310*('Ввод исходных данных'!$D$83-AU310)</f>
        <v>765</v>
      </c>
      <c r="AY310" s="1071">
        <v>6.1</v>
      </c>
      <c r="AZ310" s="1071"/>
      <c r="BA310" s="1071">
        <f t="shared" si="55"/>
        <v>23.5</v>
      </c>
      <c r="BB310" s="1071">
        <f>BA310*('Ввод исходных данных'!$D$83-AY310)</f>
        <v>279.65000000000003</v>
      </c>
      <c r="BC310" s="1072">
        <v>14.5</v>
      </c>
      <c r="BD310" s="1072"/>
      <c r="BE310" s="1072">
        <f t="shared" si="47"/>
        <v>0</v>
      </c>
      <c r="BF310" s="1073">
        <f>BE310*('Ввод исходных данных'!$D$83-BC310)</f>
        <v>0</v>
      </c>
    </row>
    <row r="311" spans="2:58" ht="15.75" customHeight="1" x14ac:dyDescent="0.25">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10282</v>
      </c>
      <c r="J311" s="1059" t="str">
        <f t="shared" si="46"/>
        <v>10000-11000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344.5</v>
      </c>
      <c r="W311" s="1065">
        <v>-9.6</v>
      </c>
      <c r="X311" s="1065"/>
      <c r="Y311" s="1065">
        <f t="shared" si="51"/>
        <v>31</v>
      </c>
      <c r="Z311" s="1065">
        <f>Y311*('Ввод исходных данных'!$D$83-W311)</f>
        <v>855.6</v>
      </c>
      <c r="AA311" s="1066">
        <v>-30.6</v>
      </c>
      <c r="AB311" s="1066"/>
      <c r="AC311" s="1066">
        <f t="shared" si="52"/>
        <v>30</v>
      </c>
      <c r="AD311" s="1066">
        <f>AC311*('Ввод исходных данных'!$D$83-AA311)</f>
        <v>1458</v>
      </c>
      <c r="AE311" s="1067">
        <v>-40.1</v>
      </c>
      <c r="AF311" s="1067"/>
      <c r="AG311" s="1067">
        <v>31</v>
      </c>
      <c r="AH311" s="1067">
        <f>AG311*('Ввод исходных данных'!$D$83-AE311)</f>
        <v>1801.1000000000001</v>
      </c>
      <c r="AI311" s="1068">
        <v>-41.8</v>
      </c>
      <c r="AJ311" s="1068"/>
      <c r="AK311" s="1068">
        <v>31</v>
      </c>
      <c r="AL311" s="1068">
        <f>AK311*('Ввод исходных данных'!$D$83-AI311)</f>
        <v>1853.8</v>
      </c>
      <c r="AM311" s="1069">
        <v>-37.4</v>
      </c>
      <c r="AN311" s="1069"/>
      <c r="AO311" s="1069">
        <v>28</v>
      </c>
      <c r="AP311" s="1069">
        <f>AO311*('Ввод исходных данных'!$D$83-AM311)</f>
        <v>1551.2</v>
      </c>
      <c r="AQ311" s="1064">
        <v>-23.8</v>
      </c>
      <c r="AR311" s="1064"/>
      <c r="AS311" s="1064">
        <f t="shared" si="53"/>
        <v>31</v>
      </c>
      <c r="AT311" s="1064">
        <f>AS311*('Ввод исходных данных'!$D$83-AQ311)</f>
        <v>1295.8</v>
      </c>
      <c r="AU311" s="1070">
        <v>-8.8000000000000007</v>
      </c>
      <c r="AV311" s="1070"/>
      <c r="AW311" s="1070">
        <f t="shared" si="54"/>
        <v>30</v>
      </c>
      <c r="AX311" s="1070">
        <f>AW311*('Ввод исходных данных'!$D$83-AU311)</f>
        <v>804</v>
      </c>
      <c r="AY311" s="1071">
        <v>4.2</v>
      </c>
      <c r="AZ311" s="1071"/>
      <c r="BA311" s="1071">
        <f t="shared" si="55"/>
        <v>26.5</v>
      </c>
      <c r="BB311" s="1071">
        <f>BA311*('Ввод исходных данных'!$D$83-AY311)</f>
        <v>365.70000000000005</v>
      </c>
      <c r="BC311" s="1072">
        <v>13.7</v>
      </c>
      <c r="BD311" s="1072"/>
      <c r="BE311" s="1072">
        <f t="shared" si="47"/>
        <v>0</v>
      </c>
      <c r="BF311" s="1073">
        <f>BE311*('Ввод исходных данных'!$D$83-BC311)</f>
        <v>0</v>
      </c>
    </row>
    <row r="312" spans="2:58" ht="15.75" customHeight="1" x14ac:dyDescent="0.25">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10076.800000000001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394.8</v>
      </c>
      <c r="W312" s="1065">
        <v>-8.6999999999999993</v>
      </c>
      <c r="X312" s="1065"/>
      <c r="Y312" s="1065">
        <f t="shared" si="51"/>
        <v>31</v>
      </c>
      <c r="Z312" s="1065">
        <f>Y312*('Ввод исходных данных'!$D$83-W312)</f>
        <v>827.69999999999993</v>
      </c>
      <c r="AA312" s="1066">
        <v>-28.2</v>
      </c>
      <c r="AB312" s="1066"/>
      <c r="AC312" s="1066">
        <f t="shared" si="52"/>
        <v>30</v>
      </c>
      <c r="AD312" s="1066">
        <f>AC312*('Ввод исходных данных'!$D$83-AA312)</f>
        <v>1386</v>
      </c>
      <c r="AE312" s="1067">
        <v>-38.9</v>
      </c>
      <c r="AF312" s="1067"/>
      <c r="AG312" s="1067">
        <v>31</v>
      </c>
      <c r="AH312" s="1067">
        <f>AG312*('Ввод исходных данных'!$D$83-AE312)</f>
        <v>1763.8999999999999</v>
      </c>
      <c r="AI312" s="1068">
        <v>-40.5</v>
      </c>
      <c r="AJ312" s="1068"/>
      <c r="AK312" s="1068">
        <v>31</v>
      </c>
      <c r="AL312" s="1068">
        <f>AK312*('Ввод исходных данных'!$D$83-AI312)</f>
        <v>1813.5</v>
      </c>
      <c r="AM312" s="1069">
        <v>-35.700000000000003</v>
      </c>
      <c r="AN312" s="1069"/>
      <c r="AO312" s="1069">
        <v>28</v>
      </c>
      <c r="AP312" s="1069">
        <f>AO312*('Ввод исходных данных'!$D$83-AM312)</f>
        <v>1503.6000000000001</v>
      </c>
      <c r="AQ312" s="1064">
        <v>-22.9</v>
      </c>
      <c r="AR312" s="1064"/>
      <c r="AS312" s="1064">
        <f t="shared" si="53"/>
        <v>31</v>
      </c>
      <c r="AT312" s="1064">
        <f>AS312*('Ввод исходных данных'!$D$83-AQ312)</f>
        <v>1267.8999999999999</v>
      </c>
      <c r="AU312" s="1070">
        <v>-8.3000000000000007</v>
      </c>
      <c r="AV312" s="1070"/>
      <c r="AW312" s="1070">
        <f t="shared" si="54"/>
        <v>30</v>
      </c>
      <c r="AX312" s="1070">
        <f>AW312*('Ввод исходных данных'!$D$83-AU312)</f>
        <v>789</v>
      </c>
      <c r="AY312" s="1071">
        <v>4.7</v>
      </c>
      <c r="AZ312" s="1071"/>
      <c r="BA312" s="1071">
        <f t="shared" si="55"/>
        <v>28</v>
      </c>
      <c r="BB312" s="1071">
        <f>BA312*('Ввод исходных данных'!$D$83-AY312)</f>
        <v>372.40000000000003</v>
      </c>
      <c r="BC312" s="1072">
        <v>13.5</v>
      </c>
      <c r="BD312" s="1072"/>
      <c r="BE312" s="1072">
        <f t="shared" si="47"/>
        <v>0</v>
      </c>
      <c r="BF312" s="1073">
        <f>BE312*('Ввод исходных данных'!$D$83-BC312)</f>
        <v>0</v>
      </c>
    </row>
    <row r="313" spans="2:58" ht="15.75" customHeight="1" x14ac:dyDescent="0.25">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9629.2000000000007</v>
      </c>
      <c r="J313" s="1059" t="str">
        <f t="shared" si="46"/>
        <v>9000-10000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359.1</v>
      </c>
      <c r="W313" s="1065">
        <v>-7.5</v>
      </c>
      <c r="X313" s="1065"/>
      <c r="Y313" s="1065">
        <f t="shared" si="51"/>
        <v>31</v>
      </c>
      <c r="Z313" s="1065">
        <f>Y313*('Ввод исходных данных'!$D$83-W313)</f>
        <v>790.5</v>
      </c>
      <c r="AA313" s="1066">
        <v>-26</v>
      </c>
      <c r="AB313" s="1066"/>
      <c r="AC313" s="1066">
        <f t="shared" si="52"/>
        <v>30</v>
      </c>
      <c r="AD313" s="1066">
        <f>AC313*('Ввод исходных данных'!$D$83-AA313)</f>
        <v>1320</v>
      </c>
      <c r="AE313" s="1067">
        <v>-36.4</v>
      </c>
      <c r="AF313" s="1067"/>
      <c r="AG313" s="1067">
        <v>31</v>
      </c>
      <c r="AH313" s="1067">
        <f>AG313*('Ввод исходных данных'!$D$83-AE313)</f>
        <v>1686.3999999999999</v>
      </c>
      <c r="AI313" s="1068">
        <v>-37.6</v>
      </c>
      <c r="AJ313" s="1068"/>
      <c r="AK313" s="1068">
        <v>31</v>
      </c>
      <c r="AL313" s="1068">
        <f>AK313*('Ввод исходных данных'!$D$83-AI313)</f>
        <v>1723.6000000000001</v>
      </c>
      <c r="AM313" s="1069">
        <v>-33.6</v>
      </c>
      <c r="AN313" s="1069"/>
      <c r="AO313" s="1069">
        <v>28</v>
      </c>
      <c r="AP313" s="1069">
        <f>AO313*('Ввод исходных данных'!$D$83-AM313)</f>
        <v>1444.8</v>
      </c>
      <c r="AQ313" s="1064">
        <v>-21.6</v>
      </c>
      <c r="AR313" s="1064"/>
      <c r="AS313" s="1064">
        <f t="shared" si="53"/>
        <v>31</v>
      </c>
      <c r="AT313" s="1064">
        <f>AS313*('Ввод исходных данных'!$D$83-AQ313)</f>
        <v>1227.6000000000001</v>
      </c>
      <c r="AU313" s="1070">
        <v>-6.9</v>
      </c>
      <c r="AV313" s="1070"/>
      <c r="AW313" s="1070">
        <f t="shared" si="54"/>
        <v>30</v>
      </c>
      <c r="AX313" s="1070">
        <f>AW313*('Ввод исходных данных'!$D$83-AU313)</f>
        <v>747</v>
      </c>
      <c r="AY313" s="1071">
        <v>5.0999999999999996</v>
      </c>
      <c r="AZ313" s="1071"/>
      <c r="BA313" s="1071">
        <f t="shared" si="55"/>
        <v>27</v>
      </c>
      <c r="BB313" s="1071">
        <f>BA313*('Ввод исходных данных'!$D$83-AY313)</f>
        <v>348.3</v>
      </c>
      <c r="BC313" s="1072">
        <v>13.2</v>
      </c>
      <c r="BD313" s="1072"/>
      <c r="BE313" s="1072">
        <f t="shared" si="47"/>
        <v>0</v>
      </c>
      <c r="BF313" s="1073">
        <f>BE313*('Ввод исходных данных'!$D$83-BC313)</f>
        <v>0</v>
      </c>
    </row>
    <row r="314" spans="2:58" ht="15.75" customHeight="1" x14ac:dyDescent="0.25">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11696</v>
      </c>
      <c r="J314" s="1059" t="str">
        <f t="shared" si="46"/>
        <v>11000-12000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465</v>
      </c>
      <c r="W314" s="1065">
        <v>-14.6</v>
      </c>
      <c r="X314" s="1065"/>
      <c r="Y314" s="1065">
        <f t="shared" si="51"/>
        <v>31</v>
      </c>
      <c r="Z314" s="1065">
        <f>Y314*('Ввод исходных данных'!$D$83-W314)</f>
        <v>1010.6</v>
      </c>
      <c r="AA314" s="1066">
        <v>-35.700000000000003</v>
      </c>
      <c r="AB314" s="1066"/>
      <c r="AC314" s="1066">
        <f t="shared" si="52"/>
        <v>30</v>
      </c>
      <c r="AD314" s="1066">
        <f>AC314*('Ввод исходных данных'!$D$83-AA314)</f>
        <v>1611</v>
      </c>
      <c r="AE314" s="1067">
        <v>-43.4</v>
      </c>
      <c r="AF314" s="1067"/>
      <c r="AG314" s="1067">
        <v>31</v>
      </c>
      <c r="AH314" s="1067">
        <f>AG314*('Ввод исходных данных'!$D$83-AE314)</f>
        <v>1903.3999999999999</v>
      </c>
      <c r="AI314" s="1068">
        <v>-46</v>
      </c>
      <c r="AJ314" s="1068"/>
      <c r="AK314" s="1068">
        <v>31</v>
      </c>
      <c r="AL314" s="1068">
        <f>AK314*('Ввод исходных данных'!$D$83-AI314)</f>
        <v>1984</v>
      </c>
      <c r="AM314" s="1069">
        <v>-42.5</v>
      </c>
      <c r="AN314" s="1069"/>
      <c r="AO314" s="1069">
        <v>28</v>
      </c>
      <c r="AP314" s="1069">
        <f>AO314*('Ввод исходных данных'!$D$83-AM314)</f>
        <v>1694</v>
      </c>
      <c r="AQ314" s="1064">
        <v>-29.9</v>
      </c>
      <c r="AR314" s="1064"/>
      <c r="AS314" s="1064">
        <f t="shared" si="53"/>
        <v>31</v>
      </c>
      <c r="AT314" s="1064">
        <f>AS314*('Ввод исходных данных'!$D$83-AQ314)</f>
        <v>1484.8999999999999</v>
      </c>
      <c r="AU314" s="1070">
        <v>-12.5</v>
      </c>
      <c r="AV314" s="1070"/>
      <c r="AW314" s="1070">
        <f t="shared" si="54"/>
        <v>30</v>
      </c>
      <c r="AX314" s="1070">
        <f>AW314*('Ввод исходных данных'!$D$83-AU314)</f>
        <v>915</v>
      </c>
      <c r="AY314" s="1071">
        <v>3.5</v>
      </c>
      <c r="AZ314" s="1071"/>
      <c r="BA314" s="1071">
        <f t="shared" si="55"/>
        <v>30</v>
      </c>
      <c r="BB314" s="1071">
        <f>BA314*('Ввод исходных данных'!$D$83-AY314)</f>
        <v>435</v>
      </c>
      <c r="BC314" s="1072">
        <v>13.3</v>
      </c>
      <c r="BD314" s="1072"/>
      <c r="BE314" s="1072">
        <f t="shared" si="47"/>
        <v>0</v>
      </c>
      <c r="BF314" s="1073">
        <f>BE314*('Ввод исходных данных'!$D$83-BC314)</f>
        <v>0</v>
      </c>
    </row>
    <row r="315" spans="2:58" ht="15.75" customHeight="1" x14ac:dyDescent="0.25">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9531.1999999999989</v>
      </c>
      <c r="J315" s="1059" t="str">
        <f t="shared" si="46"/>
        <v>9000-10000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296.09999999999997</v>
      </c>
      <c r="W315" s="1065">
        <v>-7.7</v>
      </c>
      <c r="X315" s="1065"/>
      <c r="Y315" s="1065">
        <f t="shared" si="51"/>
        <v>31</v>
      </c>
      <c r="Z315" s="1065">
        <f>Y315*('Ввод исходных данных'!$D$83-W315)</f>
        <v>796.69999999999993</v>
      </c>
      <c r="AA315" s="1066">
        <v>-26.5</v>
      </c>
      <c r="AB315" s="1066"/>
      <c r="AC315" s="1066">
        <f t="shared" si="52"/>
        <v>30</v>
      </c>
      <c r="AD315" s="1066">
        <f>AC315*('Ввод исходных данных'!$D$83-AA315)</f>
        <v>1335</v>
      </c>
      <c r="AE315" s="1067">
        <v>-34.6</v>
      </c>
      <c r="AF315" s="1067"/>
      <c r="AG315" s="1067">
        <v>31</v>
      </c>
      <c r="AH315" s="1067">
        <f>AG315*('Ввод исходных данных'!$D$83-AE315)</f>
        <v>1630.6000000000001</v>
      </c>
      <c r="AI315" s="1068">
        <v>-36.700000000000003</v>
      </c>
      <c r="AJ315" s="1068"/>
      <c r="AK315" s="1068">
        <v>31</v>
      </c>
      <c r="AL315" s="1068">
        <f>AK315*('Ввод исходных данных'!$D$83-AI315)</f>
        <v>1695.7</v>
      </c>
      <c r="AM315" s="1069">
        <v>-31.7</v>
      </c>
      <c r="AN315" s="1069"/>
      <c r="AO315" s="1069">
        <v>28</v>
      </c>
      <c r="AP315" s="1069">
        <f>AO315*('Ввод исходных данных'!$D$83-AM315)</f>
        <v>1391.6000000000001</v>
      </c>
      <c r="AQ315" s="1064">
        <v>-19.2</v>
      </c>
      <c r="AR315" s="1064"/>
      <c r="AS315" s="1064">
        <f t="shared" si="53"/>
        <v>31</v>
      </c>
      <c r="AT315" s="1064">
        <f>AS315*('Ввод исходных данных'!$D$83-AQ315)</f>
        <v>1153.2</v>
      </c>
      <c r="AU315" s="1070">
        <v>-6</v>
      </c>
      <c r="AV315" s="1070"/>
      <c r="AW315" s="1070">
        <f t="shared" si="54"/>
        <v>30</v>
      </c>
      <c r="AX315" s="1070">
        <f>AW315*('Ввод исходных данных'!$D$83-AU315)</f>
        <v>720</v>
      </c>
      <c r="AY315" s="1071">
        <v>5.6</v>
      </c>
      <c r="AZ315" s="1071"/>
      <c r="BA315" s="1071">
        <f t="shared" si="55"/>
        <v>23.5</v>
      </c>
      <c r="BB315" s="1071">
        <f>BA315*('Ввод исходных данных'!$D$83-AY315)</f>
        <v>291.40000000000003</v>
      </c>
      <c r="BC315" s="1072">
        <v>15.1</v>
      </c>
      <c r="BD315" s="1072"/>
      <c r="BE315" s="1072">
        <f t="shared" si="47"/>
        <v>0</v>
      </c>
      <c r="BF315" s="1073">
        <f>BE315*('Ввод исходных данных'!$D$83-BC315)</f>
        <v>0</v>
      </c>
    </row>
    <row r="316" spans="2:58" ht="15.75" customHeight="1" x14ac:dyDescent="0.25">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8109</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249.4</v>
      </c>
      <c r="W316" s="1065">
        <v>-3.5</v>
      </c>
      <c r="X316" s="1065"/>
      <c r="Y316" s="1065">
        <f t="shared" si="51"/>
        <v>31</v>
      </c>
      <c r="Z316" s="1065">
        <f>Y316*('Ввод исходных данных'!$D$83-W316)</f>
        <v>666.5</v>
      </c>
      <c r="AA316" s="1066">
        <v>-17.399999999999999</v>
      </c>
      <c r="AB316" s="1066"/>
      <c r="AC316" s="1066">
        <f t="shared" si="52"/>
        <v>30</v>
      </c>
      <c r="AD316" s="1066">
        <f>AC316*('Ввод исходных данных'!$D$83-AA316)</f>
        <v>1062</v>
      </c>
      <c r="AE316" s="1067">
        <v>-26.6</v>
      </c>
      <c r="AF316" s="1067"/>
      <c r="AG316" s="1067">
        <v>31</v>
      </c>
      <c r="AH316" s="1067">
        <f>AG316*('Ввод исходных данных'!$D$83-AE316)</f>
        <v>1382.6000000000001</v>
      </c>
      <c r="AI316" s="1068">
        <v>-28.8</v>
      </c>
      <c r="AJ316" s="1068"/>
      <c r="AK316" s="1068">
        <v>31</v>
      </c>
      <c r="AL316" s="1068">
        <f>AK316*('Ввод исходных данных'!$D$83-AI316)</f>
        <v>1450.8</v>
      </c>
      <c r="AM316" s="1069">
        <v>-25.6</v>
      </c>
      <c r="AN316" s="1069"/>
      <c r="AO316" s="1069">
        <v>28</v>
      </c>
      <c r="AP316" s="1069">
        <f>AO316*('Ввод исходных данных'!$D$83-AM316)</f>
        <v>1220.8</v>
      </c>
      <c r="AQ316" s="1064">
        <v>-14.6</v>
      </c>
      <c r="AR316" s="1064"/>
      <c r="AS316" s="1064">
        <f t="shared" si="53"/>
        <v>31</v>
      </c>
      <c r="AT316" s="1064">
        <f>AS316*('Ввод исходных данных'!$D$83-AQ316)</f>
        <v>1010.6</v>
      </c>
      <c r="AU316" s="1070">
        <v>-2.9</v>
      </c>
      <c r="AV316" s="1070"/>
      <c r="AW316" s="1070">
        <f t="shared" si="54"/>
        <v>30</v>
      </c>
      <c r="AX316" s="1070">
        <f>AW316*('Ввод исходных данных'!$D$83-AU316)</f>
        <v>627</v>
      </c>
      <c r="AY316" s="1071">
        <v>6.3</v>
      </c>
      <c r="AZ316" s="1071"/>
      <c r="BA316" s="1071">
        <f t="shared" si="55"/>
        <v>21.5</v>
      </c>
      <c r="BB316" s="1071">
        <f>BA316*('Ввод исходных данных'!$D$83-AY316)</f>
        <v>251.54999999999998</v>
      </c>
      <c r="BC316" s="1072">
        <v>14.8</v>
      </c>
      <c r="BD316" s="1072"/>
      <c r="BE316" s="1072">
        <f t="shared" si="47"/>
        <v>0</v>
      </c>
      <c r="BF316" s="1073">
        <f>BE316*('Ввод исходных данных'!$D$83-BC316)</f>
        <v>0</v>
      </c>
    </row>
    <row r="317" spans="2:58" ht="15.75" customHeight="1" x14ac:dyDescent="0.25">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11167.2</v>
      </c>
      <c r="J317" s="1059" t="str">
        <f t="shared" si="46"/>
        <v>11000-12000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111.60000000000001</v>
      </c>
      <c r="S317" s="1064">
        <v>1.5</v>
      </c>
      <c r="T317" s="1064"/>
      <c r="U317" s="1064">
        <f t="shared" si="50"/>
        <v>30</v>
      </c>
      <c r="V317" s="1064">
        <f>U317*('Ввод исходных данных'!$D$83-S317)</f>
        <v>495</v>
      </c>
      <c r="W317" s="1065">
        <v>-13.2</v>
      </c>
      <c r="X317" s="1065"/>
      <c r="Y317" s="1065">
        <f t="shared" si="51"/>
        <v>31</v>
      </c>
      <c r="Z317" s="1065">
        <f>Y317*('Ввод исходных данных'!$D$83-W317)</f>
        <v>967.19999999999993</v>
      </c>
      <c r="AA317" s="1066">
        <v>-29.7</v>
      </c>
      <c r="AB317" s="1066"/>
      <c r="AC317" s="1066">
        <f t="shared" si="52"/>
        <v>30</v>
      </c>
      <c r="AD317" s="1066">
        <f>AC317*('Ввод исходных данных'!$D$83-AA317)</f>
        <v>1431</v>
      </c>
      <c r="AE317" s="1067">
        <v>-35.9</v>
      </c>
      <c r="AF317" s="1067"/>
      <c r="AG317" s="1067">
        <v>31</v>
      </c>
      <c r="AH317" s="1067">
        <f>AG317*('Ввод исходных данных'!$D$83-AE317)</f>
        <v>1670.8999999999999</v>
      </c>
      <c r="AI317" s="1068">
        <v>-37.9</v>
      </c>
      <c r="AJ317" s="1068"/>
      <c r="AK317" s="1068">
        <v>31</v>
      </c>
      <c r="AL317" s="1068">
        <f>AK317*('Ввод исходных данных'!$D$83-AI317)</f>
        <v>1732.8999999999999</v>
      </c>
      <c r="AM317" s="1069">
        <v>-36.200000000000003</v>
      </c>
      <c r="AN317" s="1069"/>
      <c r="AO317" s="1069">
        <v>28</v>
      </c>
      <c r="AP317" s="1069">
        <f>AO317*('Ввод исходных данных'!$D$83-AM317)</f>
        <v>1517.6000000000001</v>
      </c>
      <c r="AQ317" s="1064">
        <v>-28.8</v>
      </c>
      <c r="AR317" s="1064"/>
      <c r="AS317" s="1064">
        <f t="shared" si="53"/>
        <v>31</v>
      </c>
      <c r="AT317" s="1064">
        <f>AS317*('Ввод исходных данных'!$D$83-AQ317)</f>
        <v>1450.8</v>
      </c>
      <c r="AU317" s="1070">
        <v>-16.8</v>
      </c>
      <c r="AV317" s="1070"/>
      <c r="AW317" s="1070">
        <f t="shared" si="54"/>
        <v>30</v>
      </c>
      <c r="AX317" s="1070">
        <f>AW317*('Ввод исходных данных'!$D$83-AU317)</f>
        <v>1044</v>
      </c>
      <c r="AY317" s="1071">
        <v>-2.6</v>
      </c>
      <c r="AZ317" s="1071"/>
      <c r="BA317" s="1071">
        <f t="shared" si="55"/>
        <v>31</v>
      </c>
      <c r="BB317" s="1071">
        <f>BA317*('Ввод исходных данных'!$D$83-AY317)</f>
        <v>638.6</v>
      </c>
      <c r="BC317" s="1072">
        <v>9.3000000000000007</v>
      </c>
      <c r="BD317" s="1072"/>
      <c r="BE317" s="1072">
        <f t="shared" si="47"/>
        <v>12</v>
      </c>
      <c r="BF317" s="1073">
        <f>BE317*('Ввод исходных данных'!$D$83-BC317)</f>
        <v>104.39999999999999</v>
      </c>
    </row>
    <row r="318" spans="2:58" ht="15.75" customHeight="1" x14ac:dyDescent="0.25">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11100</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100.05</v>
      </c>
      <c r="S318" s="1064">
        <v>1.6</v>
      </c>
      <c r="T318" s="1064"/>
      <c r="U318" s="1064">
        <f t="shared" si="50"/>
        <v>30</v>
      </c>
      <c r="V318" s="1064">
        <f>U318*('Ввод исходных данных'!$D$83-S318)</f>
        <v>491.99999999999994</v>
      </c>
      <c r="W318" s="1065">
        <v>-12.7</v>
      </c>
      <c r="X318" s="1065"/>
      <c r="Y318" s="1065">
        <f t="shared" si="51"/>
        <v>31</v>
      </c>
      <c r="Z318" s="1065">
        <f>Y318*('Ввод исходных данных'!$D$83-W318)</f>
        <v>951.69999999999993</v>
      </c>
      <c r="AA318" s="1066">
        <v>-31</v>
      </c>
      <c r="AB318" s="1066"/>
      <c r="AC318" s="1066">
        <f t="shared" si="52"/>
        <v>30</v>
      </c>
      <c r="AD318" s="1066">
        <f>AC318*('Ввод исходных данных'!$D$83-AA318)</f>
        <v>1470</v>
      </c>
      <c r="AE318" s="1067">
        <v>-35.4</v>
      </c>
      <c r="AF318" s="1067"/>
      <c r="AG318" s="1067">
        <v>31</v>
      </c>
      <c r="AH318" s="1067">
        <f>AG318*('Ввод исходных данных'!$D$83-AE318)</f>
        <v>1655.3999999999999</v>
      </c>
      <c r="AI318" s="1068">
        <v>-39.4</v>
      </c>
      <c r="AJ318" s="1068"/>
      <c r="AK318" s="1068">
        <v>31</v>
      </c>
      <c r="AL318" s="1068">
        <f>AK318*('Ввод исходных данных'!$D$83-AI318)</f>
        <v>1779.3999999999999</v>
      </c>
      <c r="AM318" s="1069">
        <v>-35.9</v>
      </c>
      <c r="AN318" s="1069"/>
      <c r="AO318" s="1069">
        <v>28</v>
      </c>
      <c r="AP318" s="1069">
        <f>AO318*('Ввод исходных данных'!$D$83-AM318)</f>
        <v>1509.2</v>
      </c>
      <c r="AQ318" s="1064">
        <v>-27.2</v>
      </c>
      <c r="AR318" s="1064"/>
      <c r="AS318" s="1064">
        <f t="shared" si="53"/>
        <v>31</v>
      </c>
      <c r="AT318" s="1064">
        <f>AS318*('Ввод исходных данных'!$D$83-AQ318)</f>
        <v>1401.2</v>
      </c>
      <c r="AU318" s="1070">
        <v>-14.8</v>
      </c>
      <c r="AV318" s="1070"/>
      <c r="AW318" s="1070">
        <f t="shared" si="54"/>
        <v>30</v>
      </c>
      <c r="AX318" s="1070">
        <f>AW318*('Ввод исходных данных'!$D$83-AU318)</f>
        <v>983.99999999999989</v>
      </c>
      <c r="AY318" s="1071">
        <v>-3</v>
      </c>
      <c r="AZ318" s="1071"/>
      <c r="BA318" s="1071">
        <f t="shared" si="55"/>
        <v>31</v>
      </c>
      <c r="BB318" s="1071">
        <f>BA318*('Ввод исходных данных'!$D$83-AY318)</f>
        <v>651</v>
      </c>
      <c r="BC318" s="1072">
        <v>8.8000000000000007</v>
      </c>
      <c r="BD318" s="1072"/>
      <c r="BE318" s="1072">
        <f t="shared" si="47"/>
        <v>11.5</v>
      </c>
      <c r="BF318" s="1073">
        <f>BE318*('Ввод исходных данных'!$D$83-BC318)</f>
        <v>105.8</v>
      </c>
    </row>
    <row r="319" spans="2:58" ht="15.75" customHeight="1" x14ac:dyDescent="0.25">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10697.4</v>
      </c>
      <c r="J319" s="1059" t="str">
        <f t="shared" si="46"/>
        <v>10000-11000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35</v>
      </c>
      <c r="S319" s="1064">
        <v>2.8</v>
      </c>
      <c r="T319" s="1064"/>
      <c r="U319" s="1064">
        <f t="shared" si="50"/>
        <v>30</v>
      </c>
      <c r="V319" s="1064">
        <f>U319*('Ввод исходных данных'!$D$83-S319)</f>
        <v>456</v>
      </c>
      <c r="W319" s="1065">
        <v>-11.6</v>
      </c>
      <c r="X319" s="1065"/>
      <c r="Y319" s="1065">
        <f t="shared" si="51"/>
        <v>31</v>
      </c>
      <c r="Z319" s="1065">
        <f>Y319*('Ввод исходных данных'!$D$83-W319)</f>
        <v>917.6</v>
      </c>
      <c r="AA319" s="1066">
        <v>-29.9</v>
      </c>
      <c r="AB319" s="1066"/>
      <c r="AC319" s="1066">
        <f t="shared" si="52"/>
        <v>30</v>
      </c>
      <c r="AD319" s="1066">
        <f>AC319*('Ввод исходных данных'!$D$83-AA319)</f>
        <v>1437</v>
      </c>
      <c r="AE319" s="1067">
        <v>-35.700000000000003</v>
      </c>
      <c r="AF319" s="1067"/>
      <c r="AG319" s="1067">
        <v>31</v>
      </c>
      <c r="AH319" s="1067">
        <f>AG319*('Ввод исходных данных'!$D$83-AE319)</f>
        <v>1664.7</v>
      </c>
      <c r="AI319" s="1068">
        <v>-38</v>
      </c>
      <c r="AJ319" s="1068"/>
      <c r="AK319" s="1068">
        <v>31</v>
      </c>
      <c r="AL319" s="1068">
        <f>AK319*('Ввод исходных данных'!$D$83-AI319)</f>
        <v>1736</v>
      </c>
      <c r="AM319" s="1069">
        <v>-34.4</v>
      </c>
      <c r="AN319" s="1069"/>
      <c r="AO319" s="1069">
        <v>28</v>
      </c>
      <c r="AP319" s="1069">
        <f>AO319*('Ввод исходных данных'!$D$83-AM319)</f>
        <v>1467.2</v>
      </c>
      <c r="AQ319" s="1064">
        <v>-23.9</v>
      </c>
      <c r="AR319" s="1064"/>
      <c r="AS319" s="1064">
        <f t="shared" si="53"/>
        <v>31</v>
      </c>
      <c r="AT319" s="1064">
        <f>AS319*('Ввод исходных данных'!$D$83-AQ319)</f>
        <v>1298.8999999999999</v>
      </c>
      <c r="AU319" s="1070">
        <v>-11.9</v>
      </c>
      <c r="AV319" s="1070"/>
      <c r="AW319" s="1070">
        <f t="shared" si="54"/>
        <v>30</v>
      </c>
      <c r="AX319" s="1070">
        <f>AW319*('Ввод исходных данных'!$D$83-AU319)</f>
        <v>897</v>
      </c>
      <c r="AY319" s="1071">
        <v>0.1</v>
      </c>
      <c r="AZ319" s="1071"/>
      <c r="BA319" s="1071">
        <f t="shared" si="55"/>
        <v>31</v>
      </c>
      <c r="BB319" s="1071">
        <f>BA319*('Ввод исходных данных'!$D$83-AY319)</f>
        <v>554.9</v>
      </c>
      <c r="BC319" s="1072">
        <v>10.8</v>
      </c>
      <c r="BD319" s="1072"/>
      <c r="BE319" s="1072">
        <f t="shared" si="47"/>
        <v>5</v>
      </c>
      <c r="BF319" s="1073">
        <f>BE319*('Ввод исходных данных'!$D$83-BC319)</f>
        <v>36</v>
      </c>
    </row>
    <row r="320" spans="2:58" ht="15.75" customHeight="1" x14ac:dyDescent="0.25">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8857.6</v>
      </c>
      <c r="J320" s="1059" t="str">
        <f t="shared" si="46"/>
        <v>8000-9000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268.39999999999998</v>
      </c>
      <c r="W320" s="1065">
        <v>-5.3</v>
      </c>
      <c r="X320" s="1065"/>
      <c r="Y320" s="1065">
        <f t="shared" si="51"/>
        <v>31</v>
      </c>
      <c r="Z320" s="1065">
        <f>Y320*('Ввод исходных данных'!$D$83-W320)</f>
        <v>722.30000000000007</v>
      </c>
      <c r="AA320" s="1066">
        <v>-22.1</v>
      </c>
      <c r="AB320" s="1066"/>
      <c r="AC320" s="1066">
        <f t="shared" si="52"/>
        <v>30</v>
      </c>
      <c r="AD320" s="1066">
        <f>AC320*('Ввод исходных данных'!$D$83-AA320)</f>
        <v>1203</v>
      </c>
      <c r="AE320" s="1067">
        <v>-31.8</v>
      </c>
      <c r="AF320" s="1067"/>
      <c r="AG320" s="1067">
        <v>31</v>
      </c>
      <c r="AH320" s="1067">
        <f>AG320*('Ввод исходных данных'!$D$83-AE320)</f>
        <v>1543.8</v>
      </c>
      <c r="AI320" s="1068">
        <v>-33.9</v>
      </c>
      <c r="AJ320" s="1068"/>
      <c r="AK320" s="1068">
        <v>31</v>
      </c>
      <c r="AL320" s="1068">
        <f>AK320*('Ввод исходных данных'!$D$83-AI320)</f>
        <v>1608.8999999999999</v>
      </c>
      <c r="AM320" s="1069">
        <v>-29.6</v>
      </c>
      <c r="AN320" s="1069"/>
      <c r="AO320" s="1069">
        <v>28</v>
      </c>
      <c r="AP320" s="1069">
        <f>AO320*('Ввод исходных данных'!$D$83-AM320)</f>
        <v>1332.8</v>
      </c>
      <c r="AQ320" s="1064">
        <v>-17.399999999999999</v>
      </c>
      <c r="AR320" s="1064"/>
      <c r="AS320" s="1064">
        <f t="shared" si="53"/>
        <v>31</v>
      </c>
      <c r="AT320" s="1064">
        <f>AS320*('Ввод исходных данных'!$D$83-AQ320)</f>
        <v>1097.3999999999999</v>
      </c>
      <c r="AU320" s="1070">
        <v>-3.4</v>
      </c>
      <c r="AV320" s="1070"/>
      <c r="AW320" s="1070">
        <f t="shared" si="54"/>
        <v>30</v>
      </c>
      <c r="AX320" s="1070">
        <f>AW320*('Ввод исходных данных'!$D$83-AU320)</f>
        <v>642</v>
      </c>
      <c r="AY320" s="1071">
        <v>6.8</v>
      </c>
      <c r="AZ320" s="1071"/>
      <c r="BA320" s="1071">
        <f t="shared" si="55"/>
        <v>22</v>
      </c>
      <c r="BB320" s="1071">
        <f>BA320*('Ввод исходных данных'!$D$83-AY320)</f>
        <v>246.39999999999998</v>
      </c>
      <c r="BC320" s="1072">
        <v>14.7</v>
      </c>
      <c r="BD320" s="1072"/>
      <c r="BE320" s="1072">
        <f t="shared" si="47"/>
        <v>0</v>
      </c>
      <c r="BF320" s="1073">
        <f>BE320*('Ввод исходных данных'!$D$83-BC320)</f>
        <v>0</v>
      </c>
    </row>
    <row r="321" spans="2:58" ht="15.75" customHeight="1" x14ac:dyDescent="0.25">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10848.800000000001</v>
      </c>
      <c r="J321" s="1059" t="str">
        <f t="shared" si="46"/>
        <v>10000-11000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41.25</v>
      </c>
      <c r="S321" s="1064">
        <v>2.9</v>
      </c>
      <c r="T321" s="1064"/>
      <c r="U321" s="1064">
        <f t="shared" si="50"/>
        <v>30</v>
      </c>
      <c r="V321" s="1064">
        <f>U321*('Ввод исходных данных'!$D$83-S321)</f>
        <v>453</v>
      </c>
      <c r="W321" s="1065">
        <v>-12.4</v>
      </c>
      <c r="X321" s="1065"/>
      <c r="Y321" s="1065">
        <f t="shared" si="51"/>
        <v>31</v>
      </c>
      <c r="Z321" s="1065">
        <f>Y321*('Ввод исходных данных'!$D$83-W321)</f>
        <v>942.4</v>
      </c>
      <c r="AA321" s="1066">
        <v>-29.6</v>
      </c>
      <c r="AB321" s="1066"/>
      <c r="AC321" s="1066">
        <f t="shared" si="52"/>
        <v>30</v>
      </c>
      <c r="AD321" s="1066">
        <f>AC321*('Ввод исходных данных'!$D$83-AA321)</f>
        <v>1428</v>
      </c>
      <c r="AE321" s="1067">
        <v>-37</v>
      </c>
      <c r="AF321" s="1067"/>
      <c r="AG321" s="1067">
        <v>31</v>
      </c>
      <c r="AH321" s="1067">
        <f>AG321*('Ввод исходных данных'!$D$83-AE321)</f>
        <v>1705</v>
      </c>
      <c r="AI321" s="1068">
        <v>-39.4</v>
      </c>
      <c r="AJ321" s="1068"/>
      <c r="AK321" s="1068">
        <v>31</v>
      </c>
      <c r="AL321" s="1068">
        <f>AK321*('Ввод исходных данных'!$D$83-AI321)</f>
        <v>1779.3999999999999</v>
      </c>
      <c r="AM321" s="1069">
        <v>-37</v>
      </c>
      <c r="AN321" s="1069"/>
      <c r="AO321" s="1069">
        <v>28</v>
      </c>
      <c r="AP321" s="1069">
        <f>AO321*('Ввод исходных данных'!$D$83-AM321)</f>
        <v>1540</v>
      </c>
      <c r="AQ321" s="1064">
        <v>-28</v>
      </c>
      <c r="AR321" s="1064"/>
      <c r="AS321" s="1064">
        <f t="shared" si="53"/>
        <v>31</v>
      </c>
      <c r="AT321" s="1064">
        <f>AS321*('Ввод исходных данных'!$D$83-AQ321)</f>
        <v>1426</v>
      </c>
      <c r="AU321" s="1070">
        <v>-14.5</v>
      </c>
      <c r="AV321" s="1070"/>
      <c r="AW321" s="1070">
        <f t="shared" si="54"/>
        <v>30</v>
      </c>
      <c r="AX321" s="1070">
        <f>AW321*('Ввод исходных данных'!$D$83-AU321)</f>
        <v>975</v>
      </c>
      <c r="AY321" s="1071">
        <v>0.4</v>
      </c>
      <c r="AZ321" s="1071"/>
      <c r="BA321" s="1071">
        <f t="shared" si="55"/>
        <v>31</v>
      </c>
      <c r="BB321" s="1071">
        <f>BA321*('Ввод исходных данных'!$D$83-AY321)</f>
        <v>545.6</v>
      </c>
      <c r="BC321" s="1072">
        <v>11.5</v>
      </c>
      <c r="BD321" s="1072"/>
      <c r="BE321" s="1072">
        <f t="shared" si="47"/>
        <v>5.5</v>
      </c>
      <c r="BF321" s="1073">
        <f>BE321*('Ввод исходных данных'!$D$83-BC321)</f>
        <v>35.75</v>
      </c>
    </row>
    <row r="322" spans="2:58" ht="15.75" customHeight="1" x14ac:dyDescent="0.25">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11521</v>
      </c>
      <c r="J322" s="1059" t="str">
        <f t="shared" si="46"/>
        <v>11000-12000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30</v>
      </c>
      <c r="S322" s="1064">
        <v>2.1</v>
      </c>
      <c r="T322" s="1064"/>
      <c r="U322" s="1064">
        <f t="shared" si="50"/>
        <v>30</v>
      </c>
      <c r="V322" s="1064">
        <f>U322*('Ввод исходных данных'!$D$83-S322)</f>
        <v>477</v>
      </c>
      <c r="W322" s="1065">
        <v>-13.9</v>
      </c>
      <c r="X322" s="1065"/>
      <c r="Y322" s="1065">
        <f t="shared" si="51"/>
        <v>31</v>
      </c>
      <c r="Z322" s="1065">
        <f>Y322*('Ввод исходных данных'!$D$83-W322)</f>
        <v>988.9</v>
      </c>
      <c r="AA322" s="1066">
        <v>-35.5</v>
      </c>
      <c r="AB322" s="1066"/>
      <c r="AC322" s="1066">
        <f t="shared" si="52"/>
        <v>30</v>
      </c>
      <c r="AD322" s="1066">
        <f>AC322*('Ввод исходных данных'!$D$83-AA322)</f>
        <v>1605</v>
      </c>
      <c r="AE322" s="1067">
        <v>-43.2</v>
      </c>
      <c r="AF322" s="1067"/>
      <c r="AG322" s="1067">
        <v>31</v>
      </c>
      <c r="AH322" s="1067">
        <f>AG322*('Ввод исходных данных'!$D$83-AE322)</f>
        <v>1897.2</v>
      </c>
      <c r="AI322" s="1068">
        <v>-45.9</v>
      </c>
      <c r="AJ322" s="1068"/>
      <c r="AK322" s="1068">
        <v>31</v>
      </c>
      <c r="AL322" s="1068">
        <f>AK322*('Ввод исходных данных'!$D$83-AI322)</f>
        <v>1980.8999999999999</v>
      </c>
      <c r="AM322" s="1069">
        <v>-41.8</v>
      </c>
      <c r="AN322" s="1069"/>
      <c r="AO322" s="1069">
        <v>28</v>
      </c>
      <c r="AP322" s="1069">
        <f>AO322*('Ввод исходных данных'!$D$83-AM322)</f>
        <v>1674.3999999999999</v>
      </c>
      <c r="AQ322" s="1064">
        <v>-29.2</v>
      </c>
      <c r="AR322" s="1064"/>
      <c r="AS322" s="1064">
        <f t="shared" si="53"/>
        <v>31</v>
      </c>
      <c r="AT322" s="1064">
        <f>AS322*('Ввод исходных данных'!$D$83-AQ322)</f>
        <v>1463.2</v>
      </c>
      <c r="AU322" s="1070">
        <v>-13.1</v>
      </c>
      <c r="AV322" s="1070"/>
      <c r="AW322" s="1070">
        <f t="shared" si="54"/>
        <v>30</v>
      </c>
      <c r="AX322" s="1070">
        <f>AW322*('Ввод исходных данных'!$D$83-AU322)</f>
        <v>933</v>
      </c>
      <c r="AY322" s="1071">
        <v>2.2000000000000002</v>
      </c>
      <c r="AZ322" s="1071"/>
      <c r="BA322" s="1071">
        <f t="shared" si="55"/>
        <v>31</v>
      </c>
      <c r="BB322" s="1071">
        <f>BA322*('Ввод исходных данных'!$D$83-AY322)</f>
        <v>489.8</v>
      </c>
      <c r="BC322" s="1072">
        <v>12.5</v>
      </c>
      <c r="BD322" s="1072"/>
      <c r="BE322" s="1072">
        <f t="shared" si="47"/>
        <v>4</v>
      </c>
      <c r="BF322" s="1073">
        <f>BE322*('Ввод исходных данных'!$D$83-BC322)</f>
        <v>22</v>
      </c>
    </row>
    <row r="323" spans="2:58" ht="15.75" customHeight="1" x14ac:dyDescent="0.25">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10450</v>
      </c>
      <c r="J323" s="1059" t="str">
        <f t="shared" si="46"/>
        <v>10000-11000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6</v>
      </c>
      <c r="S323" s="1064">
        <v>3.5</v>
      </c>
      <c r="T323" s="1064"/>
      <c r="U323" s="1064">
        <f t="shared" si="50"/>
        <v>30</v>
      </c>
      <c r="V323" s="1064">
        <f>U323*('Ввод исходных данных'!$D$83-S323)</f>
        <v>435</v>
      </c>
      <c r="W323" s="1065">
        <v>-10.7</v>
      </c>
      <c r="X323" s="1065"/>
      <c r="Y323" s="1065">
        <f t="shared" si="51"/>
        <v>31</v>
      </c>
      <c r="Z323" s="1065">
        <f>Y323*('Ввод исходных данных'!$D$83-W323)</f>
        <v>889.69999999999993</v>
      </c>
      <c r="AA323" s="1066">
        <v>-29.4</v>
      </c>
      <c r="AB323" s="1066"/>
      <c r="AC323" s="1066">
        <f t="shared" si="52"/>
        <v>30</v>
      </c>
      <c r="AD323" s="1066">
        <f>AC323*('Ввод исходных данных'!$D$83-AA323)</f>
        <v>1422</v>
      </c>
      <c r="AE323" s="1067">
        <v>-36.4</v>
      </c>
      <c r="AF323" s="1067"/>
      <c r="AG323" s="1067">
        <v>31</v>
      </c>
      <c r="AH323" s="1067">
        <f>AG323*('Ввод исходных данных'!$D$83-AE323)</f>
        <v>1686.3999999999999</v>
      </c>
      <c r="AI323" s="1068">
        <v>-38.5</v>
      </c>
      <c r="AJ323" s="1068"/>
      <c r="AK323" s="1068">
        <v>31</v>
      </c>
      <c r="AL323" s="1068">
        <f>AK323*('Ввод исходных данных'!$D$83-AI323)</f>
        <v>1751.5</v>
      </c>
      <c r="AM323" s="1069">
        <v>-34.4</v>
      </c>
      <c r="AN323" s="1069"/>
      <c r="AO323" s="1069">
        <v>28</v>
      </c>
      <c r="AP323" s="1069">
        <f>AO323*('Ввод исходных данных'!$D$83-AM323)</f>
        <v>1467.2</v>
      </c>
      <c r="AQ323" s="1064">
        <v>-22.8</v>
      </c>
      <c r="AR323" s="1064"/>
      <c r="AS323" s="1064">
        <f t="shared" si="53"/>
        <v>31</v>
      </c>
      <c r="AT323" s="1064">
        <f>AS323*('Ввод исходных данных'!$D$83-AQ323)</f>
        <v>1264.8</v>
      </c>
      <c r="AU323" s="1070">
        <v>-10.3</v>
      </c>
      <c r="AV323" s="1070"/>
      <c r="AW323" s="1070">
        <f t="shared" si="54"/>
        <v>30</v>
      </c>
      <c r="AX323" s="1070">
        <f>AW323*('Ввод исходных данных'!$D$83-AU323)</f>
        <v>849</v>
      </c>
      <c r="AY323" s="1071">
        <v>1.7</v>
      </c>
      <c r="AZ323" s="1071"/>
      <c r="BA323" s="1071">
        <f t="shared" si="55"/>
        <v>31</v>
      </c>
      <c r="BB323" s="1071">
        <f>BA323*('Ввод исходных данных'!$D$83-AY323)</f>
        <v>505.3</v>
      </c>
      <c r="BC323" s="1072">
        <v>12.2</v>
      </c>
      <c r="BD323" s="1072"/>
      <c r="BE323" s="1072">
        <f t="shared" si="47"/>
        <v>1</v>
      </c>
      <c r="BF323" s="1073">
        <f>BE323*('Ввод исходных данных'!$D$83-BC323)</f>
        <v>5.8000000000000007</v>
      </c>
    </row>
    <row r="324" spans="2:58" ht="15.75" customHeight="1" x14ac:dyDescent="0.25">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10176</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365.70000000000005</v>
      </c>
      <c r="W324" s="1065">
        <v>-10.5</v>
      </c>
      <c r="X324" s="1065"/>
      <c r="Y324" s="1065">
        <f t="shared" si="51"/>
        <v>31</v>
      </c>
      <c r="Z324" s="1065">
        <f>Y324*('Ввод исходных данных'!$D$83-W324)</f>
        <v>883.5</v>
      </c>
      <c r="AA324" s="1066">
        <v>-27.3</v>
      </c>
      <c r="AB324" s="1066"/>
      <c r="AC324" s="1066">
        <f t="shared" si="52"/>
        <v>30</v>
      </c>
      <c r="AD324" s="1066">
        <f>AC324*('Ввод исходных данных'!$D$83-AA324)</f>
        <v>1359</v>
      </c>
      <c r="AE324" s="1067">
        <v>-35.200000000000003</v>
      </c>
      <c r="AF324" s="1067"/>
      <c r="AG324" s="1067">
        <v>31</v>
      </c>
      <c r="AH324" s="1067">
        <f>AG324*('Ввод исходных данных'!$D$83-AE324)</f>
        <v>1649.2</v>
      </c>
      <c r="AI324" s="1068">
        <v>-36.299999999999997</v>
      </c>
      <c r="AJ324" s="1068"/>
      <c r="AK324" s="1068">
        <v>31</v>
      </c>
      <c r="AL324" s="1068">
        <f>AK324*('Ввод исходных данных'!$D$83-AI324)</f>
        <v>1683.3</v>
      </c>
      <c r="AM324" s="1069">
        <v>-33.4</v>
      </c>
      <c r="AN324" s="1069"/>
      <c r="AO324" s="1069">
        <v>28</v>
      </c>
      <c r="AP324" s="1069">
        <f>AO324*('Ввод исходных данных'!$D$83-AM324)</f>
        <v>1439.2</v>
      </c>
      <c r="AQ324" s="1064">
        <v>-24.9</v>
      </c>
      <c r="AR324" s="1064"/>
      <c r="AS324" s="1064">
        <f t="shared" si="53"/>
        <v>31</v>
      </c>
      <c r="AT324" s="1064">
        <f>AS324*('Ввод исходных данных'!$D$83-AQ324)</f>
        <v>1329.8999999999999</v>
      </c>
      <c r="AU324" s="1070">
        <v>-11.7</v>
      </c>
      <c r="AV324" s="1070"/>
      <c r="AW324" s="1070">
        <f t="shared" si="54"/>
        <v>30</v>
      </c>
      <c r="AX324" s="1070">
        <f>AW324*('Ввод исходных данных'!$D$83-AU324)</f>
        <v>891</v>
      </c>
      <c r="AY324" s="1071">
        <v>3.6</v>
      </c>
      <c r="AZ324" s="1071"/>
      <c r="BA324" s="1071">
        <f t="shared" si="55"/>
        <v>26.5</v>
      </c>
      <c r="BB324" s="1071">
        <f>BA324*('Ввод исходных данных'!$D$83-AY324)</f>
        <v>381.6</v>
      </c>
      <c r="BC324" s="1072">
        <v>13.4</v>
      </c>
      <c r="BD324" s="1072"/>
      <c r="BE324" s="1072">
        <f t="shared" si="47"/>
        <v>0</v>
      </c>
      <c r="BF324" s="1073">
        <f>BE324*('Ввод исходных данных'!$D$83-BC324)</f>
        <v>0</v>
      </c>
    </row>
    <row r="325" spans="2:58" ht="15.75" customHeight="1" x14ac:dyDescent="0.25">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9154.5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251.54999999999998</v>
      </c>
      <c r="W325" s="1065">
        <v>-5.5</v>
      </c>
      <c r="X325" s="1065"/>
      <c r="Y325" s="1065">
        <f t="shared" si="51"/>
        <v>31</v>
      </c>
      <c r="Z325" s="1065">
        <f>Y325*('Ввод исходных данных'!$D$83-W325)</f>
        <v>728.5</v>
      </c>
      <c r="AA325" s="1066">
        <v>-23.5</v>
      </c>
      <c r="AB325" s="1066"/>
      <c r="AC325" s="1066">
        <f t="shared" si="52"/>
        <v>30</v>
      </c>
      <c r="AD325" s="1066">
        <f>AC325*('Ввод исходных данных'!$D$83-AA325)</f>
        <v>1245</v>
      </c>
      <c r="AE325" s="1067">
        <v>-32.9</v>
      </c>
      <c r="AF325" s="1067"/>
      <c r="AG325" s="1067">
        <v>31</v>
      </c>
      <c r="AH325" s="1067">
        <f>AG325*('Ввод исходных данных'!$D$83-AE325)</f>
        <v>1577.8999999999999</v>
      </c>
      <c r="AI325" s="1068">
        <v>-35</v>
      </c>
      <c r="AJ325" s="1068"/>
      <c r="AK325" s="1068">
        <v>31</v>
      </c>
      <c r="AL325" s="1068">
        <f>AK325*('Ввод исходных данных'!$D$83-AI325)</f>
        <v>1643</v>
      </c>
      <c r="AM325" s="1069">
        <v>-31.3</v>
      </c>
      <c r="AN325" s="1069"/>
      <c r="AO325" s="1069">
        <v>28</v>
      </c>
      <c r="AP325" s="1069">
        <f>AO325*('Ввод исходных данных'!$D$83-AM325)</f>
        <v>1380.3999999999999</v>
      </c>
      <c r="AQ325" s="1064">
        <v>-19.600000000000001</v>
      </c>
      <c r="AR325" s="1064"/>
      <c r="AS325" s="1064">
        <f t="shared" si="53"/>
        <v>31</v>
      </c>
      <c r="AT325" s="1064">
        <f>AS325*('Ввод исходных данных'!$D$83-AQ325)</f>
        <v>1165.6000000000001</v>
      </c>
      <c r="AU325" s="1070">
        <v>-5.0999999999999996</v>
      </c>
      <c r="AV325" s="1070"/>
      <c r="AW325" s="1070">
        <f t="shared" si="54"/>
        <v>30</v>
      </c>
      <c r="AX325" s="1070">
        <f>AW325*('Ввод исходных данных'!$D$83-AU325)</f>
        <v>693</v>
      </c>
      <c r="AY325" s="1071">
        <v>6.3</v>
      </c>
      <c r="AZ325" s="1071"/>
      <c r="BA325" s="1071">
        <f t="shared" si="55"/>
        <v>21.5</v>
      </c>
      <c r="BB325" s="1071">
        <f>BA325*('Ввод исходных данных'!$D$83-AY325)</f>
        <v>251.54999999999998</v>
      </c>
      <c r="BC325" s="1072">
        <v>14.6</v>
      </c>
      <c r="BD325" s="1072"/>
      <c r="BE325" s="1072">
        <f t="shared" si="47"/>
        <v>0</v>
      </c>
      <c r="BF325" s="1073">
        <f>BE325*('Ввод исходных данных'!$D$83-BC325)</f>
        <v>0</v>
      </c>
    </row>
    <row r="326" spans="2:58" ht="15.75" customHeight="1" x14ac:dyDescent="0.25">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11942.8</v>
      </c>
      <c r="J326" s="1059" t="str">
        <f t="shared" si="46"/>
        <v>11000-12000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73.149999999999991</v>
      </c>
      <c r="S326" s="1064">
        <v>2</v>
      </c>
      <c r="T326" s="1064"/>
      <c r="U326" s="1064">
        <f t="shared" si="50"/>
        <v>30</v>
      </c>
      <c r="V326" s="1064">
        <f>U326*('Ввод исходных данных'!$D$83-S326)</f>
        <v>480</v>
      </c>
      <c r="W326" s="1065">
        <v>-14.8</v>
      </c>
      <c r="X326" s="1065"/>
      <c r="Y326" s="1065">
        <f t="shared" si="51"/>
        <v>31</v>
      </c>
      <c r="Z326" s="1065">
        <f>Y326*('Ввод исходных данных'!$D$83-W326)</f>
        <v>1016.8</v>
      </c>
      <c r="AA326" s="1066">
        <v>-35.4</v>
      </c>
      <c r="AB326" s="1066"/>
      <c r="AC326" s="1066">
        <f t="shared" si="52"/>
        <v>30</v>
      </c>
      <c r="AD326" s="1066">
        <f>AC326*('Ввод исходных данных'!$D$83-AA326)</f>
        <v>1602</v>
      </c>
      <c r="AE326" s="1067">
        <v>-42.7</v>
      </c>
      <c r="AF326" s="1067"/>
      <c r="AG326" s="1067">
        <v>31</v>
      </c>
      <c r="AH326" s="1067">
        <f>AG326*('Ввод исходных данных'!$D$83-AE326)</f>
        <v>1881.7</v>
      </c>
      <c r="AI326" s="1068">
        <v>-45.5</v>
      </c>
      <c r="AJ326" s="1068"/>
      <c r="AK326" s="1068">
        <v>31</v>
      </c>
      <c r="AL326" s="1068">
        <f>AK326*('Ввод исходных данных'!$D$83-AI326)</f>
        <v>1968.5</v>
      </c>
      <c r="AM326" s="1069">
        <v>-42.3</v>
      </c>
      <c r="AN326" s="1069"/>
      <c r="AO326" s="1069">
        <v>28</v>
      </c>
      <c r="AP326" s="1069">
        <f>AO326*('Ввод исходных данных'!$D$83-AM326)</f>
        <v>1688.3999999999999</v>
      </c>
      <c r="AQ326" s="1064">
        <v>-31.8</v>
      </c>
      <c r="AR326" s="1064"/>
      <c r="AS326" s="1064">
        <f t="shared" si="53"/>
        <v>31</v>
      </c>
      <c r="AT326" s="1064">
        <f>AS326*('Ввод исходных данных'!$D$83-AQ326)</f>
        <v>1543.8</v>
      </c>
      <c r="AU326" s="1070">
        <v>-16.600000000000001</v>
      </c>
      <c r="AV326" s="1070"/>
      <c r="AW326" s="1070">
        <f t="shared" si="54"/>
        <v>30</v>
      </c>
      <c r="AX326" s="1070">
        <f>AW326*('Ввод исходных данных'!$D$83-AU326)</f>
        <v>1038</v>
      </c>
      <c r="AY326" s="1071">
        <v>-1</v>
      </c>
      <c r="AZ326" s="1071"/>
      <c r="BA326" s="1071">
        <f t="shared" si="55"/>
        <v>31</v>
      </c>
      <c r="BB326" s="1071">
        <f>BA326*('Ввод исходных данных'!$D$83-AY326)</f>
        <v>589</v>
      </c>
      <c r="BC326" s="1072">
        <v>8.9</v>
      </c>
      <c r="BD326" s="1072"/>
      <c r="BE326" s="1072">
        <f t="shared" si="47"/>
        <v>9.5</v>
      </c>
      <c r="BF326" s="1073">
        <f>BE326*('Ввод исходных данных'!$D$83-BC326)</f>
        <v>86.45</v>
      </c>
    </row>
    <row r="327" spans="2:58" ht="15.75" customHeight="1" x14ac:dyDescent="0.25">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10337.800000000001</v>
      </c>
      <c r="J327" s="1059" t="str">
        <f t="shared" si="46"/>
        <v>10000-11000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258.3</v>
      </c>
      <c r="W327" s="1065">
        <v>-9.1</v>
      </c>
      <c r="X327" s="1065"/>
      <c r="Y327" s="1065">
        <f t="shared" si="51"/>
        <v>31</v>
      </c>
      <c r="Z327" s="1065">
        <f>Y327*('Ввод исходных данных'!$D$83-W327)</f>
        <v>840.1</v>
      </c>
      <c r="AA327" s="1066">
        <v>-31</v>
      </c>
      <c r="AB327" s="1066"/>
      <c r="AC327" s="1066">
        <f t="shared" si="52"/>
        <v>30</v>
      </c>
      <c r="AD327" s="1066">
        <f>AC327*('Ввод исходных данных'!$D$83-AA327)</f>
        <v>1470</v>
      </c>
      <c r="AE327" s="1067">
        <v>-41.8</v>
      </c>
      <c r="AF327" s="1067"/>
      <c r="AG327" s="1067">
        <v>31</v>
      </c>
      <c r="AH327" s="1067">
        <f>AG327*('Ввод исходных данных'!$D$83-AE327)</f>
        <v>1853.8</v>
      </c>
      <c r="AI327" s="1068">
        <v>-43.8</v>
      </c>
      <c r="AJ327" s="1068"/>
      <c r="AK327" s="1068">
        <v>31</v>
      </c>
      <c r="AL327" s="1068">
        <f>AK327*('Ввод исходных данных'!$D$83-AI327)</f>
        <v>1915.8</v>
      </c>
      <c r="AM327" s="1069">
        <v>-38.200000000000003</v>
      </c>
      <c r="AN327" s="1069"/>
      <c r="AO327" s="1069">
        <v>28</v>
      </c>
      <c r="AP327" s="1069">
        <f>AO327*('Ввод исходных данных'!$D$83-AM327)</f>
        <v>1573.6000000000001</v>
      </c>
      <c r="AQ327" s="1064">
        <v>-22.2</v>
      </c>
      <c r="AR327" s="1064"/>
      <c r="AS327" s="1064">
        <f t="shared" si="53"/>
        <v>31</v>
      </c>
      <c r="AT327" s="1064">
        <f>AS327*('Ввод исходных данных'!$D$83-AQ327)</f>
        <v>1246.2</v>
      </c>
      <c r="AU327" s="1070">
        <v>-5.6</v>
      </c>
      <c r="AV327" s="1070"/>
      <c r="AW327" s="1070">
        <f t="shared" si="54"/>
        <v>30</v>
      </c>
      <c r="AX327" s="1070">
        <f>AW327*('Ввод исходных данных'!$D$83-AU327)</f>
        <v>708</v>
      </c>
      <c r="AY327" s="1071">
        <v>7</v>
      </c>
      <c r="AZ327" s="1071"/>
      <c r="BA327" s="1071">
        <f t="shared" si="55"/>
        <v>21</v>
      </c>
      <c r="BB327" s="1071">
        <f>BA327*('Ввод исходных данных'!$D$83-AY327)</f>
        <v>231</v>
      </c>
      <c r="BC327" s="1072">
        <v>15.7</v>
      </c>
      <c r="BD327" s="1072"/>
      <c r="BE327" s="1072">
        <f t="shared" si="47"/>
        <v>0</v>
      </c>
      <c r="BF327" s="1073">
        <f>BE327*('Ввод исходных данных'!$D$83-BC327)</f>
        <v>0</v>
      </c>
    </row>
    <row r="328" spans="2:58" ht="15.75" customHeight="1" x14ac:dyDescent="0.25">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11121.5</v>
      </c>
      <c r="J328" s="1059" t="str">
        <f t="shared" si="46"/>
        <v>11000-12000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93.5</v>
      </c>
      <c r="S328" s="1064">
        <v>2</v>
      </c>
      <c r="T328" s="1064"/>
      <c r="U328" s="1064">
        <f t="shared" si="50"/>
        <v>30</v>
      </c>
      <c r="V328" s="1064">
        <f>U328*('Ввод исходных данных'!$D$83-S328)</f>
        <v>480</v>
      </c>
      <c r="W328" s="1065">
        <v>-12</v>
      </c>
      <c r="X328" s="1065"/>
      <c r="Y328" s="1065">
        <f t="shared" si="51"/>
        <v>31</v>
      </c>
      <c r="Z328" s="1065">
        <f>Y328*('Ввод исходных данных'!$D$83-W328)</f>
        <v>930</v>
      </c>
      <c r="AA328" s="1066">
        <v>-29.8</v>
      </c>
      <c r="AB328" s="1066"/>
      <c r="AC328" s="1066">
        <f t="shared" si="52"/>
        <v>30</v>
      </c>
      <c r="AD328" s="1066">
        <f>AC328*('Ввод исходных данных'!$D$83-AA328)</f>
        <v>1434</v>
      </c>
      <c r="AE328" s="1067">
        <v>-35.200000000000003</v>
      </c>
      <c r="AF328" s="1067"/>
      <c r="AG328" s="1067">
        <v>31</v>
      </c>
      <c r="AH328" s="1067">
        <f>AG328*('Ввод исходных данных'!$D$83-AE328)</f>
        <v>1649.2</v>
      </c>
      <c r="AI328" s="1068">
        <v>-37.700000000000003</v>
      </c>
      <c r="AJ328" s="1068"/>
      <c r="AK328" s="1068">
        <v>31</v>
      </c>
      <c r="AL328" s="1068">
        <f>AK328*('Ввод исходных данных'!$D$83-AI328)</f>
        <v>1726.7</v>
      </c>
      <c r="AM328" s="1069">
        <v>-34.6</v>
      </c>
      <c r="AN328" s="1069"/>
      <c r="AO328" s="1069">
        <v>28</v>
      </c>
      <c r="AP328" s="1069">
        <f>AO328*('Ввод исходных данных'!$D$83-AM328)</f>
        <v>1472.8</v>
      </c>
      <c r="AQ328" s="1064">
        <v>-26.3</v>
      </c>
      <c r="AR328" s="1064"/>
      <c r="AS328" s="1064">
        <f t="shared" si="53"/>
        <v>31</v>
      </c>
      <c r="AT328" s="1064">
        <f>AS328*('Ввод исходных данных'!$D$83-AQ328)</f>
        <v>1373.3</v>
      </c>
      <c r="AU328" s="1070">
        <v>-15</v>
      </c>
      <c r="AV328" s="1070"/>
      <c r="AW328" s="1070">
        <f t="shared" si="54"/>
        <v>30</v>
      </c>
      <c r="AX328" s="1070">
        <f>AW328*('Ввод исходных данных'!$D$83-AU328)</f>
        <v>990</v>
      </c>
      <c r="AY328" s="1071">
        <v>-3</v>
      </c>
      <c r="AZ328" s="1071"/>
      <c r="BA328" s="1071">
        <f t="shared" si="55"/>
        <v>31</v>
      </c>
      <c r="BB328" s="1071">
        <f>BA328*('Ввод исходных данных'!$D$83-AY328)</f>
        <v>651</v>
      </c>
      <c r="BC328" s="1072">
        <v>8</v>
      </c>
      <c r="BD328" s="1072"/>
      <c r="BE328" s="1072">
        <f t="shared" si="47"/>
        <v>11</v>
      </c>
      <c r="BF328" s="1073">
        <f>BE328*('Ввод исходных данных'!$D$83-BC328)</f>
        <v>110</v>
      </c>
    </row>
    <row r="329" spans="2:58" ht="15.75" customHeight="1" x14ac:dyDescent="0.25">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8333.4</v>
      </c>
      <c r="J329" s="1059" t="str">
        <f t="shared" ref="J329:J392" si="58">CONCATENATE(ROUNDDOWN(I329/1000,0)*1000,"-",ROUNDUP(I329/1000,0)*1000)</f>
        <v>8000-9000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282.90000000000003</v>
      </c>
      <c r="W329" s="1065">
        <v>-4.9000000000000004</v>
      </c>
      <c r="X329" s="1065"/>
      <c r="Y329" s="1065">
        <f t="shared" si="51"/>
        <v>31</v>
      </c>
      <c r="Z329" s="1065">
        <f>Y329*('Ввод исходных данных'!$D$83-W329)</f>
        <v>709.9</v>
      </c>
      <c r="AA329" s="1066">
        <v>-19.5</v>
      </c>
      <c r="AB329" s="1066"/>
      <c r="AC329" s="1066">
        <f t="shared" si="52"/>
        <v>30</v>
      </c>
      <c r="AD329" s="1066">
        <f>AC329*('Ввод исходных данных'!$D$83-AA329)</f>
        <v>1125</v>
      </c>
      <c r="AE329" s="1067">
        <v>-27.7</v>
      </c>
      <c r="AF329" s="1067"/>
      <c r="AG329" s="1067">
        <v>31</v>
      </c>
      <c r="AH329" s="1067">
        <f>AG329*('Ввод исходных данных'!$D$83-AE329)</f>
        <v>1416.7</v>
      </c>
      <c r="AI329" s="1068">
        <v>-29</v>
      </c>
      <c r="AJ329" s="1068"/>
      <c r="AK329" s="1068">
        <v>31</v>
      </c>
      <c r="AL329" s="1068">
        <f>AK329*('Ввод исходных данных'!$D$83-AI329)</f>
        <v>1457</v>
      </c>
      <c r="AM329" s="1069">
        <v>-25.6</v>
      </c>
      <c r="AN329" s="1069"/>
      <c r="AO329" s="1069">
        <v>28</v>
      </c>
      <c r="AP329" s="1069">
        <f>AO329*('Ввод исходных данных'!$D$83-AM329)</f>
        <v>1220.8</v>
      </c>
      <c r="AQ329" s="1064">
        <v>-14.9</v>
      </c>
      <c r="AR329" s="1064"/>
      <c r="AS329" s="1064">
        <f t="shared" si="53"/>
        <v>31</v>
      </c>
      <c r="AT329" s="1064">
        <f>AS329*('Ввод исходных данных'!$D$83-AQ329)</f>
        <v>1019.9</v>
      </c>
      <c r="AU329" s="1070">
        <v>-3.6</v>
      </c>
      <c r="AV329" s="1070"/>
      <c r="AW329" s="1070">
        <f t="shared" si="54"/>
        <v>30</v>
      </c>
      <c r="AX329" s="1070">
        <f>AW329*('Ввод исходных данных'!$D$83-AU329)</f>
        <v>648</v>
      </c>
      <c r="AY329" s="1071">
        <v>6.2</v>
      </c>
      <c r="AZ329" s="1071"/>
      <c r="BA329" s="1071">
        <f t="shared" si="55"/>
        <v>23</v>
      </c>
      <c r="BB329" s="1071">
        <f>BA329*('Ввод исходных данных'!$D$83-AY329)</f>
        <v>271.40000000000003</v>
      </c>
      <c r="BC329" s="1072">
        <v>14.6</v>
      </c>
      <c r="BD329" s="1072"/>
      <c r="BE329" s="1072">
        <f t="shared" si="47"/>
        <v>0</v>
      </c>
      <c r="BF329" s="1073">
        <f>BE329*('Ввод исходных данных'!$D$83-BC329)</f>
        <v>0</v>
      </c>
    </row>
    <row r="330" spans="2:58" ht="15.75" customHeight="1" x14ac:dyDescent="0.25">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8856</v>
      </c>
      <c r="J330" s="1059" t="str">
        <f t="shared" si="58"/>
        <v>8000-9000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406</v>
      </c>
      <c r="W330" s="1065">
        <v>-7.7</v>
      </c>
      <c r="X330" s="1065"/>
      <c r="Y330" s="1065">
        <f t="shared" si="51"/>
        <v>31</v>
      </c>
      <c r="Z330" s="1065">
        <f>Y330*('Ввод исходных данных'!$D$83-W330)</f>
        <v>796.69999999999993</v>
      </c>
      <c r="AA330" s="1066">
        <v>-21.7</v>
      </c>
      <c r="AB330" s="1066"/>
      <c r="AC330" s="1066">
        <f t="shared" si="52"/>
        <v>30</v>
      </c>
      <c r="AD330" s="1066">
        <f>AC330*('Ввод исходных данных'!$D$83-AA330)</f>
        <v>1191</v>
      </c>
      <c r="AE330" s="1067">
        <v>-28.2</v>
      </c>
      <c r="AF330" s="1067"/>
      <c r="AG330" s="1067">
        <v>31</v>
      </c>
      <c r="AH330" s="1067">
        <f>AG330*('Ввод исходных данных'!$D$83-AE330)</f>
        <v>1432.2</v>
      </c>
      <c r="AI330" s="1068">
        <v>-29.1</v>
      </c>
      <c r="AJ330" s="1068"/>
      <c r="AK330" s="1068">
        <v>31</v>
      </c>
      <c r="AL330" s="1068">
        <f>AK330*('Ввод исходных данных'!$D$83-AI330)</f>
        <v>1460.1000000000001</v>
      </c>
      <c r="AM330" s="1069">
        <v>-25.6</v>
      </c>
      <c r="AN330" s="1069"/>
      <c r="AO330" s="1069">
        <v>28</v>
      </c>
      <c r="AP330" s="1069">
        <f>AO330*('Ввод исходных данных'!$D$83-AM330)</f>
        <v>1220.8</v>
      </c>
      <c r="AQ330" s="1064">
        <v>-17</v>
      </c>
      <c r="AR330" s="1064"/>
      <c r="AS330" s="1064">
        <f t="shared" si="53"/>
        <v>31</v>
      </c>
      <c r="AT330" s="1064">
        <f>AS330*('Ввод исходных данных'!$D$83-AQ330)</f>
        <v>1085</v>
      </c>
      <c r="AU330" s="1070">
        <v>-5.9</v>
      </c>
      <c r="AV330" s="1070"/>
      <c r="AW330" s="1070">
        <f t="shared" si="54"/>
        <v>30</v>
      </c>
      <c r="AX330" s="1070">
        <f>AW330*('Ввод исходных данных'!$D$83-AU330)</f>
        <v>717</v>
      </c>
      <c r="AY330" s="1071">
        <v>4.0999999999999996</v>
      </c>
      <c r="AZ330" s="1071"/>
      <c r="BA330" s="1071">
        <f t="shared" si="55"/>
        <v>29</v>
      </c>
      <c r="BB330" s="1071">
        <f>BA330*('Ввод исходных данных'!$D$83-AY330)</f>
        <v>403.1</v>
      </c>
      <c r="BC330" s="1072">
        <v>12.1</v>
      </c>
      <c r="BD330" s="1072"/>
      <c r="BE330" s="1072">
        <f t="shared" ref="BE330:BE393" si="59">IF((E330-273)&gt;0,IF((E330-273)/2&gt;30,30,(E330-273)/2),0)</f>
        <v>0</v>
      </c>
      <c r="BF330" s="1073">
        <f>BE330*('Ввод исходных данных'!$D$83-BC330)</f>
        <v>0</v>
      </c>
    </row>
    <row r="331" spans="2:58" ht="15.75" customHeight="1" x14ac:dyDescent="0.25">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11369.599999999999</v>
      </c>
      <c r="J331" s="1059" t="str">
        <f t="shared" si="58"/>
        <v>11000-12000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438</v>
      </c>
      <c r="W331" s="1065">
        <v>-14.7</v>
      </c>
      <c r="X331" s="1065"/>
      <c r="Y331" s="1065">
        <f t="shared" ref="Y331:Y394" si="63">IF((E331-151)&gt;0,IF((E331-151)/2&gt;31,31,(E331-151)/2),0)</f>
        <v>31</v>
      </c>
      <c r="Z331" s="1065">
        <f>Y331*('Ввод исходных данных'!$D$83-W331)</f>
        <v>1013.7</v>
      </c>
      <c r="AA331" s="1066">
        <v>-35.9</v>
      </c>
      <c r="AB331" s="1066"/>
      <c r="AC331" s="1066">
        <f t="shared" ref="AC331:AC394" si="64">IF((E331-90)/2&gt;30,30,(E331-90)/2)</f>
        <v>30</v>
      </c>
      <c r="AD331" s="1066">
        <f>AC331*('Ввод исходных данных'!$D$83-AA331)</f>
        <v>1617</v>
      </c>
      <c r="AE331" s="1067">
        <v>-44.4</v>
      </c>
      <c r="AF331" s="1067"/>
      <c r="AG331" s="1067">
        <v>31</v>
      </c>
      <c r="AH331" s="1067">
        <f>AG331*('Ввод исходных данных'!$D$83-AE331)</f>
        <v>1934.3999999999999</v>
      </c>
      <c r="AI331" s="1068">
        <v>-46.3</v>
      </c>
      <c r="AJ331" s="1068"/>
      <c r="AK331" s="1068">
        <v>31</v>
      </c>
      <c r="AL331" s="1068">
        <f>AK331*('Ввод исходных данных'!$D$83-AI331)</f>
        <v>1993.3</v>
      </c>
      <c r="AM331" s="1069">
        <v>-41.6</v>
      </c>
      <c r="AN331" s="1069"/>
      <c r="AO331" s="1069">
        <v>28</v>
      </c>
      <c r="AP331" s="1069">
        <f>AO331*('Ввод исходных данных'!$D$83-AM331)</f>
        <v>1668.8</v>
      </c>
      <c r="AQ331" s="1064">
        <v>-29.1</v>
      </c>
      <c r="AR331" s="1064"/>
      <c r="AS331" s="1064">
        <f t="shared" ref="AS331:AS394" si="65">IF((E331-90)/2&gt;31,31,(E331-90)/2)</f>
        <v>31</v>
      </c>
      <c r="AT331" s="1064">
        <f>AS331*('Ввод исходных данных'!$D$83-AQ331)</f>
        <v>1460.1000000000001</v>
      </c>
      <c r="AU331" s="1070">
        <v>-11.3</v>
      </c>
      <c r="AV331" s="1070"/>
      <c r="AW331" s="1070">
        <f t="shared" ref="AW331:AW394" si="66">IF((E331-151)&gt;0,IF((E331-151)/2&gt;30,30,(E331-151)/2),0)</f>
        <v>30</v>
      </c>
      <c r="AX331" s="1070">
        <f>AW331*('Ввод исходных данных'!$D$83-AU331)</f>
        <v>879</v>
      </c>
      <c r="AY331" s="1071">
        <v>3.8</v>
      </c>
      <c r="AZ331" s="1071"/>
      <c r="BA331" s="1071">
        <f t="shared" ref="BA331:BA394" si="67">IF((E331-212)&gt;0,IF((E331-212)/2&gt;31,31,(E331-212)/2),0)</f>
        <v>30</v>
      </c>
      <c r="BB331" s="1071">
        <f>BA331*('Ввод исходных данных'!$D$83-AY331)</f>
        <v>426</v>
      </c>
      <c r="BC331" s="1072">
        <v>13.2</v>
      </c>
      <c r="BD331" s="1072"/>
      <c r="BE331" s="1072">
        <f t="shared" si="59"/>
        <v>0</v>
      </c>
      <c r="BF331" s="1073">
        <f>BE331*('Ввод исходных данных'!$D$83-BC331)</f>
        <v>0</v>
      </c>
    </row>
    <row r="332" spans="2:58" ht="15.75" customHeight="1" x14ac:dyDescent="0.25">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9389.1</v>
      </c>
      <c r="J332" s="1059" t="str">
        <f t="shared" si="58"/>
        <v>9000-10000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326.40000000000003</v>
      </c>
      <c r="W332" s="1065">
        <v>-7.3</v>
      </c>
      <c r="X332" s="1065"/>
      <c r="Y332" s="1065">
        <f t="shared" si="63"/>
        <v>31</v>
      </c>
      <c r="Z332" s="1065">
        <f>Y332*('Ввод исходных данных'!$D$83-W332)</f>
        <v>784.30000000000007</v>
      </c>
      <c r="AA332" s="1066">
        <v>-26</v>
      </c>
      <c r="AB332" s="1066"/>
      <c r="AC332" s="1066">
        <f t="shared" si="64"/>
        <v>30</v>
      </c>
      <c r="AD332" s="1066">
        <f>AC332*('Ввод исходных данных'!$D$83-AA332)</f>
        <v>1320</v>
      </c>
      <c r="AE332" s="1067">
        <v>-34.200000000000003</v>
      </c>
      <c r="AF332" s="1067"/>
      <c r="AG332" s="1067">
        <v>31</v>
      </c>
      <c r="AH332" s="1067">
        <f>AG332*('Ввод исходных данных'!$D$83-AE332)</f>
        <v>1618.2</v>
      </c>
      <c r="AI332" s="1068">
        <v>-36</v>
      </c>
      <c r="AJ332" s="1068"/>
      <c r="AK332" s="1068">
        <v>31</v>
      </c>
      <c r="AL332" s="1068">
        <f>AK332*('Ввод исходных данных'!$D$83-AI332)</f>
        <v>1674</v>
      </c>
      <c r="AM332" s="1069">
        <v>-31.9</v>
      </c>
      <c r="AN332" s="1069"/>
      <c r="AO332" s="1069">
        <v>28</v>
      </c>
      <c r="AP332" s="1069">
        <f>AO332*('Ввод исходных данных'!$D$83-AM332)</f>
        <v>1397.2</v>
      </c>
      <c r="AQ332" s="1064">
        <v>-20.6</v>
      </c>
      <c r="AR332" s="1064"/>
      <c r="AS332" s="1064">
        <f t="shared" si="65"/>
        <v>31</v>
      </c>
      <c r="AT332" s="1064">
        <f>AS332*('Ввод исходных данных'!$D$83-AQ332)</f>
        <v>1196.6000000000001</v>
      </c>
      <c r="AU332" s="1070">
        <v>-7.2</v>
      </c>
      <c r="AV332" s="1070"/>
      <c r="AW332" s="1070">
        <f t="shared" si="66"/>
        <v>30</v>
      </c>
      <c r="AX332" s="1070">
        <f>AW332*('Ввод исходных данных'!$D$83-AU332)</f>
        <v>756</v>
      </c>
      <c r="AY332" s="1071">
        <v>5</v>
      </c>
      <c r="AZ332" s="1071"/>
      <c r="BA332" s="1071">
        <f t="shared" si="67"/>
        <v>25.5</v>
      </c>
      <c r="BB332" s="1071">
        <f>BA332*('Ввод исходных данных'!$D$83-AY332)</f>
        <v>331.5</v>
      </c>
      <c r="BC332" s="1072">
        <v>14.2</v>
      </c>
      <c r="BD332" s="1072"/>
      <c r="BE332" s="1072">
        <f t="shared" si="59"/>
        <v>0</v>
      </c>
      <c r="BF332" s="1073">
        <f>BE332*('Ввод исходных данных'!$D$83-BC332)</f>
        <v>0</v>
      </c>
    </row>
    <row r="333" spans="2:58" ht="15.75" customHeight="1" x14ac:dyDescent="0.25">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8146.6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229.6</v>
      </c>
      <c r="W333" s="1065">
        <v>-3.5</v>
      </c>
      <c r="X333" s="1065"/>
      <c r="Y333" s="1065">
        <f t="shared" si="63"/>
        <v>31</v>
      </c>
      <c r="Z333" s="1065">
        <f>Y333*('Ввод исходных данных'!$D$83-W333)</f>
        <v>666.5</v>
      </c>
      <c r="AA333" s="1066">
        <v>-20.100000000000001</v>
      </c>
      <c r="AB333" s="1066"/>
      <c r="AC333" s="1066">
        <f t="shared" si="64"/>
        <v>30</v>
      </c>
      <c r="AD333" s="1066">
        <f>AC333*('Ввод исходных данных'!$D$83-AA333)</f>
        <v>1143</v>
      </c>
      <c r="AE333" s="1067">
        <v>-28.6</v>
      </c>
      <c r="AF333" s="1067"/>
      <c r="AG333" s="1067">
        <v>31</v>
      </c>
      <c r="AH333" s="1067">
        <f>AG333*('Ввод исходных данных'!$D$83-AE333)</f>
        <v>1444.6000000000001</v>
      </c>
      <c r="AI333" s="1068">
        <v>-30</v>
      </c>
      <c r="AJ333" s="1068"/>
      <c r="AK333" s="1068">
        <v>31</v>
      </c>
      <c r="AL333" s="1068">
        <f>AK333*('Ввод исходных данных'!$D$83-AI333)</f>
        <v>1488</v>
      </c>
      <c r="AM333" s="1069">
        <v>-26.8</v>
      </c>
      <c r="AN333" s="1069"/>
      <c r="AO333" s="1069">
        <v>28</v>
      </c>
      <c r="AP333" s="1069">
        <f>AO333*('Ввод исходных данных'!$D$83-AM333)</f>
        <v>1254.3999999999999</v>
      </c>
      <c r="AQ333" s="1064">
        <v>-15.9</v>
      </c>
      <c r="AR333" s="1064"/>
      <c r="AS333" s="1064">
        <f t="shared" si="65"/>
        <v>31</v>
      </c>
      <c r="AT333" s="1064">
        <f>AS333*('Ввод исходных данных'!$D$83-AQ333)</f>
        <v>1050.8999999999999</v>
      </c>
      <c r="AU333" s="1070">
        <v>-3.5</v>
      </c>
      <c r="AV333" s="1070"/>
      <c r="AW333" s="1070">
        <f t="shared" si="66"/>
        <v>30</v>
      </c>
      <c r="AX333" s="1070">
        <f>AW333*('Ввод исходных данных'!$D$83-AU333)</f>
        <v>645</v>
      </c>
      <c r="AY333" s="1071">
        <v>6.3</v>
      </c>
      <c r="AZ333" s="1071"/>
      <c r="BA333" s="1071">
        <f t="shared" si="67"/>
        <v>20.5</v>
      </c>
      <c r="BB333" s="1071">
        <f>BA333*('Ввод исходных данных'!$D$83-AY333)</f>
        <v>239.85</v>
      </c>
      <c r="BC333" s="1072">
        <v>14.9</v>
      </c>
      <c r="BD333" s="1072"/>
      <c r="BE333" s="1072">
        <f t="shared" si="59"/>
        <v>0</v>
      </c>
      <c r="BF333" s="1073">
        <f>BE333*('Ввод исходных данных'!$D$83-BC333)</f>
        <v>0</v>
      </c>
    </row>
    <row r="334" spans="2:58" ht="15.75" customHeight="1" x14ac:dyDescent="0.25">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12021.8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15.399999999999999</v>
      </c>
      <c r="S334" s="1064">
        <v>2.1</v>
      </c>
      <c r="T334" s="1064"/>
      <c r="U334" s="1064">
        <f t="shared" si="62"/>
        <v>30</v>
      </c>
      <c r="V334" s="1064">
        <f>U334*('Ввод исходных данных'!$D$83-S334)</f>
        <v>477</v>
      </c>
      <c r="W334" s="1065">
        <v>-15.2</v>
      </c>
      <c r="X334" s="1065"/>
      <c r="Y334" s="1065">
        <f t="shared" si="63"/>
        <v>31</v>
      </c>
      <c r="Z334" s="1065">
        <f>Y334*('Ввод исходных данных'!$D$83-W334)</f>
        <v>1029.2</v>
      </c>
      <c r="AA334" s="1066">
        <v>-36.200000000000003</v>
      </c>
      <c r="AB334" s="1066"/>
      <c r="AC334" s="1066">
        <f t="shared" si="64"/>
        <v>30</v>
      </c>
      <c r="AD334" s="1066">
        <f>AC334*('Ввод исходных данных'!$D$83-AA334)</f>
        <v>1626</v>
      </c>
      <c r="AE334" s="1067">
        <v>-45.7</v>
      </c>
      <c r="AF334" s="1067"/>
      <c r="AG334" s="1067">
        <v>31</v>
      </c>
      <c r="AH334" s="1067">
        <f>AG334*('Ввод исходных данных'!$D$83-AE334)</f>
        <v>1974.7</v>
      </c>
      <c r="AI334" s="1068">
        <v>-46.6</v>
      </c>
      <c r="AJ334" s="1068"/>
      <c r="AK334" s="1068">
        <v>31</v>
      </c>
      <c r="AL334" s="1068">
        <f>AK334*('Ввод исходных данных'!$D$83-AI334)</f>
        <v>2002.6</v>
      </c>
      <c r="AM334" s="1069">
        <v>-42.7</v>
      </c>
      <c r="AN334" s="1069"/>
      <c r="AO334" s="1069">
        <v>28</v>
      </c>
      <c r="AP334" s="1069">
        <f>AO334*('Ввод исходных данных'!$D$83-AM334)</f>
        <v>1699.6000000000001</v>
      </c>
      <c r="AQ334" s="1064">
        <v>-31.7</v>
      </c>
      <c r="AR334" s="1064"/>
      <c r="AS334" s="1064">
        <f t="shared" si="65"/>
        <v>31</v>
      </c>
      <c r="AT334" s="1064">
        <f>AS334*('Ввод исходных данных'!$D$83-AQ334)</f>
        <v>1540.7</v>
      </c>
      <c r="AU334" s="1070">
        <v>-13.8</v>
      </c>
      <c r="AV334" s="1070"/>
      <c r="AW334" s="1070">
        <f t="shared" si="66"/>
        <v>30</v>
      </c>
      <c r="AX334" s="1070">
        <f>AW334*('Ввод исходных данных'!$D$83-AU334)</f>
        <v>954</v>
      </c>
      <c r="AY334" s="1071">
        <v>2.6</v>
      </c>
      <c r="AZ334" s="1071"/>
      <c r="BA334" s="1071">
        <f t="shared" si="67"/>
        <v>31</v>
      </c>
      <c r="BB334" s="1071">
        <f>BA334*('Ввод исходных данных'!$D$83-AY334)</f>
        <v>477.40000000000003</v>
      </c>
      <c r="BC334" s="1072">
        <v>12.2</v>
      </c>
      <c r="BD334" s="1072"/>
      <c r="BE334" s="1072">
        <f t="shared" si="59"/>
        <v>2</v>
      </c>
      <c r="BF334" s="1073">
        <f>BE334*('Ввод исходных данных'!$D$83-BC334)</f>
        <v>11.600000000000001</v>
      </c>
    </row>
    <row r="335" spans="2:58" ht="15.75" customHeight="1" x14ac:dyDescent="0.25">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8526.1</v>
      </c>
      <c r="J335" s="1059" t="str">
        <f t="shared" si="58"/>
        <v>8000-9000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243.95000000000002</v>
      </c>
      <c r="W335" s="1065">
        <v>-5.2</v>
      </c>
      <c r="X335" s="1065"/>
      <c r="Y335" s="1065">
        <f t="shared" si="63"/>
        <v>31</v>
      </c>
      <c r="Z335" s="1065">
        <f>Y335*('Ввод исходных данных'!$D$83-W335)</f>
        <v>719.19999999999993</v>
      </c>
      <c r="AA335" s="1066">
        <v>-21.2</v>
      </c>
      <c r="AB335" s="1066"/>
      <c r="AC335" s="1066">
        <f t="shared" si="64"/>
        <v>30</v>
      </c>
      <c r="AD335" s="1066">
        <f>AC335*('Ввод исходных данных'!$D$83-AA335)</f>
        <v>1176</v>
      </c>
      <c r="AE335" s="1067">
        <v>-29.7</v>
      </c>
      <c r="AF335" s="1067"/>
      <c r="AG335" s="1067">
        <v>31</v>
      </c>
      <c r="AH335" s="1067">
        <f>AG335*('Ввод исходных данных'!$D$83-AE335)</f>
        <v>1478.7</v>
      </c>
      <c r="AI335" s="1068">
        <v>-31.4</v>
      </c>
      <c r="AJ335" s="1068"/>
      <c r="AK335" s="1068">
        <v>31</v>
      </c>
      <c r="AL335" s="1068">
        <f>AK335*('Ввод исходных данных'!$D$83-AI335)</f>
        <v>1531.3999999999999</v>
      </c>
      <c r="AM335" s="1069">
        <v>-27.3</v>
      </c>
      <c r="AN335" s="1069"/>
      <c r="AO335" s="1069">
        <v>28</v>
      </c>
      <c r="AP335" s="1069">
        <f>AO335*('Ввод исходных данных'!$D$83-AM335)</f>
        <v>1268.3999999999999</v>
      </c>
      <c r="AQ335" s="1064">
        <v>-15.5</v>
      </c>
      <c r="AR335" s="1064"/>
      <c r="AS335" s="1064">
        <f t="shared" si="65"/>
        <v>31</v>
      </c>
      <c r="AT335" s="1064">
        <f>AS335*('Ввод исходных данных'!$D$83-AQ335)</f>
        <v>1038.5</v>
      </c>
      <c r="AU335" s="1070">
        <v>-3.3</v>
      </c>
      <c r="AV335" s="1070"/>
      <c r="AW335" s="1070">
        <f t="shared" si="66"/>
        <v>30</v>
      </c>
      <c r="AX335" s="1070">
        <f>AW335*('Ввод исходных данных'!$D$83-AU335)</f>
        <v>639</v>
      </c>
      <c r="AY335" s="1071">
        <v>7</v>
      </c>
      <c r="AZ335" s="1071"/>
      <c r="BA335" s="1071">
        <f t="shared" si="67"/>
        <v>20.5</v>
      </c>
      <c r="BB335" s="1071">
        <f>BA335*('Ввод исходных данных'!$D$83-AY335)</f>
        <v>225.5</v>
      </c>
      <c r="BC335" s="1072">
        <v>15.1</v>
      </c>
      <c r="BD335" s="1072"/>
      <c r="BE335" s="1072">
        <f t="shared" si="59"/>
        <v>0</v>
      </c>
      <c r="BF335" s="1073">
        <f>BE335*('Ввод исходных данных'!$D$83-BC335)</f>
        <v>0</v>
      </c>
    </row>
    <row r="336" spans="2:58" ht="15.75" customHeight="1" x14ac:dyDescent="0.25">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10590.3</v>
      </c>
      <c r="J336" s="1059" t="str">
        <f t="shared" si="58"/>
        <v>10000-11000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50.399999999999991</v>
      </c>
      <c r="S336" s="1064">
        <v>2.2999999999999998</v>
      </c>
      <c r="T336" s="1064"/>
      <c r="U336" s="1064">
        <f t="shared" si="62"/>
        <v>30</v>
      </c>
      <c r="V336" s="1064">
        <f>U336*('Ввод исходных данных'!$D$83-S336)</f>
        <v>471</v>
      </c>
      <c r="W336" s="1065">
        <v>-11.6</v>
      </c>
      <c r="X336" s="1065"/>
      <c r="Y336" s="1065">
        <f t="shared" si="63"/>
        <v>31</v>
      </c>
      <c r="Z336" s="1065">
        <f>Y336*('Ввод исходных данных'!$D$83-W336)</f>
        <v>917.6</v>
      </c>
      <c r="AA336" s="1066">
        <v>-28.6</v>
      </c>
      <c r="AB336" s="1066"/>
      <c r="AC336" s="1066">
        <f t="shared" si="64"/>
        <v>30</v>
      </c>
      <c r="AD336" s="1066">
        <f>AC336*('Ввод исходных данных'!$D$83-AA336)</f>
        <v>1398</v>
      </c>
      <c r="AE336" s="1067">
        <v>-33.700000000000003</v>
      </c>
      <c r="AF336" s="1067"/>
      <c r="AG336" s="1067">
        <v>31</v>
      </c>
      <c r="AH336" s="1067">
        <f>AG336*('Ввод исходных данных'!$D$83-AE336)</f>
        <v>1602.7</v>
      </c>
      <c r="AI336" s="1068">
        <v>-37</v>
      </c>
      <c r="AJ336" s="1068"/>
      <c r="AK336" s="1068">
        <v>31</v>
      </c>
      <c r="AL336" s="1068">
        <f>AK336*('Ввод исходных данных'!$D$83-AI336)</f>
        <v>1705</v>
      </c>
      <c r="AM336" s="1069">
        <v>-33.700000000000003</v>
      </c>
      <c r="AN336" s="1069"/>
      <c r="AO336" s="1069">
        <v>28</v>
      </c>
      <c r="AP336" s="1069">
        <f>AO336*('Ввод исходных данных'!$D$83-AM336)</f>
        <v>1447.6000000000001</v>
      </c>
      <c r="AQ336" s="1064">
        <v>-22.8</v>
      </c>
      <c r="AR336" s="1064"/>
      <c r="AS336" s="1064">
        <f t="shared" si="65"/>
        <v>31</v>
      </c>
      <c r="AT336" s="1064">
        <f>AS336*('Ввод исходных данных'!$D$83-AQ336)</f>
        <v>1264.8</v>
      </c>
      <c r="AU336" s="1070">
        <v>-11.7</v>
      </c>
      <c r="AV336" s="1070"/>
      <c r="AW336" s="1070">
        <f t="shared" si="66"/>
        <v>30</v>
      </c>
      <c r="AX336" s="1070">
        <f>AW336*('Ввод исходных данных'!$D$83-AU336)</f>
        <v>891</v>
      </c>
      <c r="AY336" s="1071">
        <v>-1.2</v>
      </c>
      <c r="AZ336" s="1071"/>
      <c r="BA336" s="1071">
        <f t="shared" si="67"/>
        <v>31</v>
      </c>
      <c r="BB336" s="1071">
        <f>BA336*('Ввод исходных данных'!$D$83-AY336)</f>
        <v>595.19999999999993</v>
      </c>
      <c r="BC336" s="1072">
        <v>10</v>
      </c>
      <c r="BD336" s="1072"/>
      <c r="BE336" s="1072">
        <f t="shared" si="59"/>
        <v>7</v>
      </c>
      <c r="BF336" s="1073">
        <f>BE336*('Ввод исходных данных'!$D$83-BC336)</f>
        <v>56</v>
      </c>
    </row>
    <row r="337" spans="2:58" ht="15.75" customHeight="1" x14ac:dyDescent="0.25">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10322</v>
      </c>
      <c r="J337" s="1059" t="str">
        <f t="shared" si="58"/>
        <v>10000-11000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300</v>
      </c>
      <c r="W337" s="1065">
        <v>-8.6999999999999993</v>
      </c>
      <c r="X337" s="1065"/>
      <c r="Y337" s="1065">
        <f t="shared" si="63"/>
        <v>31</v>
      </c>
      <c r="Z337" s="1065">
        <f>Y337*('Ввод исходных данных'!$D$83-W337)</f>
        <v>827.69999999999993</v>
      </c>
      <c r="AA337" s="1066">
        <v>-30.3</v>
      </c>
      <c r="AB337" s="1066"/>
      <c r="AC337" s="1066">
        <f t="shared" si="64"/>
        <v>30</v>
      </c>
      <c r="AD337" s="1066">
        <f>AC337*('Ввод исходных данных'!$D$83-AA337)</f>
        <v>1449</v>
      </c>
      <c r="AE337" s="1067">
        <v>-41.1</v>
      </c>
      <c r="AF337" s="1067"/>
      <c r="AG337" s="1067">
        <v>31</v>
      </c>
      <c r="AH337" s="1067">
        <f>AG337*('Ввод исходных данных'!$D$83-AE337)</f>
        <v>1832.1000000000001</v>
      </c>
      <c r="AI337" s="1068">
        <v>-44.2</v>
      </c>
      <c r="AJ337" s="1068"/>
      <c r="AK337" s="1068">
        <v>31</v>
      </c>
      <c r="AL337" s="1068">
        <f>AK337*('Ввод исходных данных'!$D$83-AI337)</f>
        <v>1928.2</v>
      </c>
      <c r="AM337" s="1069">
        <v>-39.4</v>
      </c>
      <c r="AN337" s="1069"/>
      <c r="AO337" s="1069">
        <v>28</v>
      </c>
      <c r="AP337" s="1069">
        <f>AO337*('Ввод исходных данных'!$D$83-AM337)</f>
        <v>1607.2</v>
      </c>
      <c r="AQ337" s="1064">
        <v>-24.7</v>
      </c>
      <c r="AR337" s="1064"/>
      <c r="AS337" s="1064">
        <f t="shared" si="65"/>
        <v>31</v>
      </c>
      <c r="AT337" s="1064">
        <f>AS337*('Ввод исходных данных'!$D$83-AQ337)</f>
        <v>1323.7</v>
      </c>
      <c r="AU337" s="1070">
        <v>-7.8</v>
      </c>
      <c r="AV337" s="1070"/>
      <c r="AW337" s="1070">
        <f t="shared" si="66"/>
        <v>30</v>
      </c>
      <c r="AX337" s="1070">
        <f>AW337*('Ввод исходных данных'!$D$83-AU337)</f>
        <v>774</v>
      </c>
      <c r="AY337" s="1071">
        <v>5.7</v>
      </c>
      <c r="AZ337" s="1071"/>
      <c r="BA337" s="1071">
        <f t="shared" si="67"/>
        <v>24</v>
      </c>
      <c r="BB337" s="1071">
        <f>BA337*('Ввод исходных данных'!$D$83-AY337)</f>
        <v>295.20000000000005</v>
      </c>
      <c r="BC337" s="1072">
        <v>14.2</v>
      </c>
      <c r="BD337" s="1072"/>
      <c r="BE337" s="1072">
        <f t="shared" si="59"/>
        <v>0</v>
      </c>
      <c r="BF337" s="1073">
        <f>BE337*('Ввод исходных данных'!$D$83-BC337)</f>
        <v>0</v>
      </c>
    </row>
    <row r="338" spans="2:58" ht="15.75" customHeight="1" x14ac:dyDescent="0.25">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9813.6</v>
      </c>
      <c r="J338" s="1059" t="str">
        <f t="shared" si="58"/>
        <v>9000-10000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294</v>
      </c>
      <c r="W338" s="1065">
        <v>-8.6999999999999993</v>
      </c>
      <c r="X338" s="1065"/>
      <c r="Y338" s="1065">
        <f t="shared" si="63"/>
        <v>31</v>
      </c>
      <c r="Z338" s="1065">
        <f>Y338*('Ввод исходных данных'!$D$83-W338)</f>
        <v>827.69999999999993</v>
      </c>
      <c r="AA338" s="1066">
        <v>-28.5</v>
      </c>
      <c r="AB338" s="1066"/>
      <c r="AC338" s="1066">
        <f t="shared" si="64"/>
        <v>30</v>
      </c>
      <c r="AD338" s="1066">
        <f>AC338*('Ввод исходных данных'!$D$83-AA338)</f>
        <v>1395</v>
      </c>
      <c r="AE338" s="1067">
        <v>-37.299999999999997</v>
      </c>
      <c r="AF338" s="1067"/>
      <c r="AG338" s="1067">
        <v>31</v>
      </c>
      <c r="AH338" s="1067">
        <f>AG338*('Ввод исходных данных'!$D$83-AE338)</f>
        <v>1714.3</v>
      </c>
      <c r="AI338" s="1068">
        <v>-39.1</v>
      </c>
      <c r="AJ338" s="1068"/>
      <c r="AK338" s="1068">
        <v>31</v>
      </c>
      <c r="AL338" s="1068">
        <f>AK338*('Ввод исходных данных'!$D$83-AI338)</f>
        <v>1770.1000000000001</v>
      </c>
      <c r="AM338" s="1069">
        <v>-34.5</v>
      </c>
      <c r="AN338" s="1069"/>
      <c r="AO338" s="1069">
        <v>28</v>
      </c>
      <c r="AP338" s="1069">
        <f>AO338*('Ввод исходных данных'!$D$83-AM338)</f>
        <v>1470</v>
      </c>
      <c r="AQ338" s="1064">
        <v>-21.6</v>
      </c>
      <c r="AR338" s="1064"/>
      <c r="AS338" s="1064">
        <f t="shared" si="65"/>
        <v>31</v>
      </c>
      <c r="AT338" s="1064">
        <f>AS338*('Ввод исходных данных'!$D$83-AQ338)</f>
        <v>1227.6000000000001</v>
      </c>
      <c r="AU338" s="1070">
        <v>-8.5</v>
      </c>
      <c r="AV338" s="1070"/>
      <c r="AW338" s="1070">
        <f t="shared" si="66"/>
        <v>30</v>
      </c>
      <c r="AX338" s="1070">
        <f>AW338*('Ввод исходных данных'!$D$83-AU338)</f>
        <v>795</v>
      </c>
      <c r="AY338" s="1071">
        <v>4.0999999999999996</v>
      </c>
      <c r="AZ338" s="1071"/>
      <c r="BA338" s="1071">
        <f t="shared" si="67"/>
        <v>24.5</v>
      </c>
      <c r="BB338" s="1071">
        <f>BA338*('Ввод исходных данных'!$D$83-AY338)</f>
        <v>340.55</v>
      </c>
      <c r="BC338" s="1072">
        <v>14.3</v>
      </c>
      <c r="BD338" s="1072"/>
      <c r="BE338" s="1072">
        <f t="shared" si="59"/>
        <v>0</v>
      </c>
      <c r="BF338" s="1073">
        <f>BE338*('Ввод исходных данных'!$D$83-BC338)</f>
        <v>0</v>
      </c>
    </row>
    <row r="339" spans="2:58" ht="15.75" customHeight="1" x14ac:dyDescent="0.25">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11488.4</v>
      </c>
      <c r="J339" s="1059" t="str">
        <f t="shared" si="58"/>
        <v>11000-12000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169.75</v>
      </c>
      <c r="S339" s="1064">
        <v>0.8</v>
      </c>
      <c r="T339" s="1064"/>
      <c r="U339" s="1064">
        <f t="shared" si="62"/>
        <v>30</v>
      </c>
      <c r="V339" s="1064">
        <f>U339*('Ввод исходных данных'!$D$83-S339)</f>
        <v>516</v>
      </c>
      <c r="W339" s="1065">
        <v>-13.4</v>
      </c>
      <c r="X339" s="1065"/>
      <c r="Y339" s="1065">
        <f t="shared" si="63"/>
        <v>31</v>
      </c>
      <c r="Z339" s="1065">
        <f>Y339*('Ввод исходных данных'!$D$83-W339)</f>
        <v>973.4</v>
      </c>
      <c r="AA339" s="1066">
        <v>-28.2</v>
      </c>
      <c r="AB339" s="1066"/>
      <c r="AC339" s="1066">
        <f t="shared" si="64"/>
        <v>30</v>
      </c>
      <c r="AD339" s="1066">
        <f>AC339*('Ввод исходных данных'!$D$83-AA339)</f>
        <v>1386</v>
      </c>
      <c r="AE339" s="1067">
        <v>-32.299999999999997</v>
      </c>
      <c r="AF339" s="1067"/>
      <c r="AG339" s="1067">
        <v>31</v>
      </c>
      <c r="AH339" s="1067">
        <f>AG339*('Ввод исходных данных'!$D$83-AE339)</f>
        <v>1559.3</v>
      </c>
      <c r="AI339" s="1068">
        <v>-35.200000000000003</v>
      </c>
      <c r="AJ339" s="1068"/>
      <c r="AK339" s="1068">
        <v>31</v>
      </c>
      <c r="AL339" s="1068">
        <f>AK339*('Ввод исходных данных'!$D$83-AI339)</f>
        <v>1649.2</v>
      </c>
      <c r="AM339" s="1069">
        <v>-34.4</v>
      </c>
      <c r="AN339" s="1069"/>
      <c r="AO339" s="1069">
        <v>28</v>
      </c>
      <c r="AP339" s="1069">
        <f>AO339*('Ввод исходных данных'!$D$83-AM339)</f>
        <v>1467.2</v>
      </c>
      <c r="AQ339" s="1064">
        <v>-28.6</v>
      </c>
      <c r="AR339" s="1064"/>
      <c r="AS339" s="1064">
        <f t="shared" si="65"/>
        <v>31</v>
      </c>
      <c r="AT339" s="1064">
        <f>AS339*('Ввод исходных данных'!$D$83-AQ339)</f>
        <v>1444.6000000000001</v>
      </c>
      <c r="AU339" s="1070">
        <v>-19</v>
      </c>
      <c r="AV339" s="1070"/>
      <c r="AW339" s="1070">
        <f t="shared" si="66"/>
        <v>30</v>
      </c>
      <c r="AX339" s="1070">
        <f>AW339*('Ввод исходных данных'!$D$83-AU339)</f>
        <v>1110</v>
      </c>
      <c r="AY339" s="1071">
        <v>-7.4</v>
      </c>
      <c r="AZ339" s="1071"/>
      <c r="BA339" s="1071">
        <f t="shared" si="67"/>
        <v>31</v>
      </c>
      <c r="BB339" s="1071">
        <f>BA339*('Ввод исходных данных'!$D$83-AY339)</f>
        <v>787.4</v>
      </c>
      <c r="BC339" s="1072">
        <v>5.3</v>
      </c>
      <c r="BD339" s="1072"/>
      <c r="BE339" s="1072">
        <f t="shared" si="59"/>
        <v>17.5</v>
      </c>
      <c r="BF339" s="1073">
        <f>BE339*('Ввод исходных данных'!$D$83-BC339)</f>
        <v>222.25</v>
      </c>
    </row>
    <row r="340" spans="2:58" ht="15.75" customHeight="1" x14ac:dyDescent="0.25">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10470.599999999999</v>
      </c>
      <c r="J340" s="1059" t="str">
        <f t="shared" si="58"/>
        <v>10000-11000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14.8</v>
      </c>
      <c r="S340" s="1064">
        <v>3.3</v>
      </c>
      <c r="T340" s="1064"/>
      <c r="U340" s="1064">
        <f t="shared" si="62"/>
        <v>30</v>
      </c>
      <c r="V340" s="1064">
        <f>U340*('Ввод исходных данных'!$D$83-S340)</f>
        <v>441</v>
      </c>
      <c r="W340" s="1065">
        <v>-10.9</v>
      </c>
      <c r="X340" s="1065"/>
      <c r="Y340" s="1065">
        <f t="shared" si="63"/>
        <v>31</v>
      </c>
      <c r="Z340" s="1065">
        <f>Y340*('Ввод исходных данных'!$D$83-W340)</f>
        <v>895.9</v>
      </c>
      <c r="AA340" s="1066">
        <v>-26.8</v>
      </c>
      <c r="AB340" s="1066"/>
      <c r="AC340" s="1066">
        <f t="shared" si="64"/>
        <v>30</v>
      </c>
      <c r="AD340" s="1066">
        <f>AC340*('Ввод исходных данных'!$D$83-AA340)</f>
        <v>1344</v>
      </c>
      <c r="AE340" s="1067">
        <v>-34.4</v>
      </c>
      <c r="AF340" s="1067"/>
      <c r="AG340" s="1067">
        <v>31</v>
      </c>
      <c r="AH340" s="1067">
        <f>AG340*('Ввод исходных данных'!$D$83-AE340)</f>
        <v>1624.3999999999999</v>
      </c>
      <c r="AI340" s="1068">
        <v>-36.200000000000003</v>
      </c>
      <c r="AJ340" s="1068"/>
      <c r="AK340" s="1068">
        <v>31</v>
      </c>
      <c r="AL340" s="1068">
        <f>AK340*('Ввод исходных данных'!$D$83-AI340)</f>
        <v>1680.2</v>
      </c>
      <c r="AM340" s="1069">
        <v>-33.9</v>
      </c>
      <c r="AN340" s="1069"/>
      <c r="AO340" s="1069">
        <v>28</v>
      </c>
      <c r="AP340" s="1069">
        <f>AO340*('Ввод исходных данных'!$D$83-AM340)</f>
        <v>1453.2</v>
      </c>
      <c r="AQ340" s="1064">
        <v>-26.2</v>
      </c>
      <c r="AR340" s="1064"/>
      <c r="AS340" s="1064">
        <f t="shared" si="65"/>
        <v>31</v>
      </c>
      <c r="AT340" s="1064">
        <f>AS340*('Ввод исходных данных'!$D$83-AQ340)</f>
        <v>1370.2</v>
      </c>
      <c r="AU340" s="1070">
        <v>-13.9</v>
      </c>
      <c r="AV340" s="1070"/>
      <c r="AW340" s="1070">
        <f t="shared" si="66"/>
        <v>30</v>
      </c>
      <c r="AX340" s="1070">
        <f>AW340*('Ввод исходных данных'!$D$83-AU340)</f>
        <v>957</v>
      </c>
      <c r="AY340" s="1071">
        <v>1.1000000000000001</v>
      </c>
      <c r="AZ340" s="1071"/>
      <c r="BA340" s="1071">
        <f t="shared" si="67"/>
        <v>31</v>
      </c>
      <c r="BB340" s="1071">
        <f>BA340*('Ввод исходных данных'!$D$83-AY340)</f>
        <v>523.9</v>
      </c>
      <c r="BC340" s="1072">
        <v>11.4</v>
      </c>
      <c r="BD340" s="1072"/>
      <c r="BE340" s="1072">
        <f t="shared" si="59"/>
        <v>2</v>
      </c>
      <c r="BF340" s="1073">
        <f>BE340*('Ввод исходных данных'!$D$83-BC340)</f>
        <v>13.2</v>
      </c>
    </row>
    <row r="341" spans="2:58" ht="15.75" customHeight="1" x14ac:dyDescent="0.25">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8943.5999999999985</v>
      </c>
      <c r="J341" s="1059" t="str">
        <f t="shared" si="58"/>
        <v>8000-9000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279</v>
      </c>
      <c r="W341" s="1065">
        <v>-6</v>
      </c>
      <c r="X341" s="1065"/>
      <c r="Y341" s="1065">
        <f t="shared" si="63"/>
        <v>31</v>
      </c>
      <c r="Z341" s="1065">
        <f>Y341*('Ввод исходных данных'!$D$83-W341)</f>
        <v>744</v>
      </c>
      <c r="AA341" s="1066">
        <v>-23.2</v>
      </c>
      <c r="AB341" s="1066"/>
      <c r="AC341" s="1066">
        <f t="shared" si="64"/>
        <v>30</v>
      </c>
      <c r="AD341" s="1066">
        <f>AC341*('Ввод исходных данных'!$D$83-AA341)</f>
        <v>1236</v>
      </c>
      <c r="AE341" s="1067">
        <v>-30.9</v>
      </c>
      <c r="AF341" s="1067"/>
      <c r="AG341" s="1067">
        <v>31</v>
      </c>
      <c r="AH341" s="1067">
        <f>AG341*('Ввод исходных данных'!$D$83-AE341)</f>
        <v>1515.8999999999999</v>
      </c>
      <c r="AI341" s="1068">
        <v>-32.9</v>
      </c>
      <c r="AJ341" s="1068"/>
      <c r="AK341" s="1068">
        <v>31</v>
      </c>
      <c r="AL341" s="1068">
        <f>AK341*('Ввод исходных данных'!$D$83-AI341)</f>
        <v>1577.8999999999999</v>
      </c>
      <c r="AM341" s="1069">
        <v>-29.2</v>
      </c>
      <c r="AN341" s="1069"/>
      <c r="AO341" s="1069">
        <v>28</v>
      </c>
      <c r="AP341" s="1069">
        <f>AO341*('Ввод исходных данных'!$D$83-AM341)</f>
        <v>1321.6000000000001</v>
      </c>
      <c r="AQ341" s="1064">
        <v>-17.8</v>
      </c>
      <c r="AR341" s="1064"/>
      <c r="AS341" s="1064">
        <f t="shared" si="65"/>
        <v>31</v>
      </c>
      <c r="AT341" s="1064">
        <f>AS341*('Ввод исходных данных'!$D$83-AQ341)</f>
        <v>1109.8</v>
      </c>
      <c r="AU341" s="1070">
        <v>-4.8</v>
      </c>
      <c r="AV341" s="1070"/>
      <c r="AW341" s="1070">
        <f t="shared" si="66"/>
        <v>30</v>
      </c>
      <c r="AX341" s="1070">
        <f>AW341*('Ввод исходных данных'!$D$83-AU341)</f>
        <v>684</v>
      </c>
      <c r="AY341" s="1071">
        <v>6.3</v>
      </c>
      <c r="AZ341" s="1071"/>
      <c r="BA341" s="1071">
        <f t="shared" si="67"/>
        <v>22.5</v>
      </c>
      <c r="BB341" s="1071">
        <f>BA341*('Ввод исходных данных'!$D$83-AY341)</f>
        <v>263.25</v>
      </c>
      <c r="BC341" s="1072">
        <v>15.1</v>
      </c>
      <c r="BD341" s="1072"/>
      <c r="BE341" s="1072">
        <f t="shared" si="59"/>
        <v>0</v>
      </c>
      <c r="BF341" s="1073">
        <f>BE341*('Ввод исходных данных'!$D$83-BC341)</f>
        <v>0</v>
      </c>
    </row>
    <row r="342" spans="2:58" ht="15.75" customHeight="1" x14ac:dyDescent="0.25">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11189.6</v>
      </c>
      <c r="J342" s="1059" t="str">
        <f t="shared" si="58"/>
        <v>11000-12000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41.25</v>
      </c>
      <c r="S342" s="1064">
        <v>2.2999999999999998</v>
      </c>
      <c r="T342" s="1064"/>
      <c r="U342" s="1064">
        <f t="shared" si="62"/>
        <v>30</v>
      </c>
      <c r="V342" s="1064">
        <f>U342*('Ввод исходных данных'!$D$83-S342)</f>
        <v>471</v>
      </c>
      <c r="W342" s="1065">
        <v>-12.3</v>
      </c>
      <c r="X342" s="1065"/>
      <c r="Y342" s="1065">
        <f t="shared" si="63"/>
        <v>31</v>
      </c>
      <c r="Z342" s="1065">
        <f>Y342*('Ввод исходных данных'!$D$83-W342)</f>
        <v>939.30000000000007</v>
      </c>
      <c r="AA342" s="1066">
        <v>-32.1</v>
      </c>
      <c r="AB342" s="1066"/>
      <c r="AC342" s="1066">
        <f t="shared" si="64"/>
        <v>30</v>
      </c>
      <c r="AD342" s="1066">
        <f>AC342*('Ввод исходных данных'!$D$83-AA342)</f>
        <v>1503</v>
      </c>
      <c r="AE342" s="1067">
        <v>-38.4</v>
      </c>
      <c r="AF342" s="1067"/>
      <c r="AG342" s="1067">
        <v>31</v>
      </c>
      <c r="AH342" s="1067">
        <f>AG342*('Ввод исходных данных'!$D$83-AE342)</f>
        <v>1748.3999999999999</v>
      </c>
      <c r="AI342" s="1068">
        <v>-41.7</v>
      </c>
      <c r="AJ342" s="1068"/>
      <c r="AK342" s="1068">
        <v>31</v>
      </c>
      <c r="AL342" s="1068">
        <f>AK342*('Ввод исходных данных'!$D$83-AI342)</f>
        <v>1850.7</v>
      </c>
      <c r="AM342" s="1069">
        <v>-38</v>
      </c>
      <c r="AN342" s="1069"/>
      <c r="AO342" s="1069">
        <v>28</v>
      </c>
      <c r="AP342" s="1069">
        <f>AO342*('Ввод исходных данных'!$D$83-AM342)</f>
        <v>1568</v>
      </c>
      <c r="AQ342" s="1064">
        <v>-26</v>
      </c>
      <c r="AR342" s="1064"/>
      <c r="AS342" s="1064">
        <f t="shared" si="65"/>
        <v>31</v>
      </c>
      <c r="AT342" s="1064">
        <f>AS342*('Ввод исходных данных'!$D$83-AQ342)</f>
        <v>1364</v>
      </c>
      <c r="AU342" s="1070">
        <v>-12.2</v>
      </c>
      <c r="AV342" s="1070"/>
      <c r="AW342" s="1070">
        <f t="shared" si="66"/>
        <v>30</v>
      </c>
      <c r="AX342" s="1070">
        <f>AW342*('Ввод исходных данных'!$D$83-AU342)</f>
        <v>906</v>
      </c>
      <c r="AY342" s="1071">
        <v>0.1</v>
      </c>
      <c r="AZ342" s="1071"/>
      <c r="BA342" s="1071">
        <f t="shared" si="67"/>
        <v>31</v>
      </c>
      <c r="BB342" s="1071">
        <f>BA342*('Ввод исходных данных'!$D$83-AY342)</f>
        <v>554.9</v>
      </c>
      <c r="BC342" s="1072">
        <v>11.2</v>
      </c>
      <c r="BD342" s="1072"/>
      <c r="BE342" s="1072">
        <f t="shared" si="59"/>
        <v>5.5</v>
      </c>
      <c r="BF342" s="1073">
        <f>BE342*('Ввод исходных данных'!$D$83-BC342)</f>
        <v>37.400000000000006</v>
      </c>
    </row>
    <row r="343" spans="2:58" ht="15.75" customHeight="1" x14ac:dyDescent="0.25">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9720</v>
      </c>
      <c r="J343" s="1059" t="str">
        <f t="shared" si="58"/>
        <v>9000-10000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391.5</v>
      </c>
      <c r="W343" s="1065">
        <v>-7.4</v>
      </c>
      <c r="X343" s="1065"/>
      <c r="Y343" s="1065">
        <f t="shared" si="63"/>
        <v>31</v>
      </c>
      <c r="Z343" s="1065">
        <f>Y343*('Ввод исходных данных'!$D$83-W343)</f>
        <v>787.4</v>
      </c>
      <c r="AA343" s="1066">
        <v>-26.9</v>
      </c>
      <c r="AB343" s="1066"/>
      <c r="AC343" s="1066">
        <f t="shared" si="64"/>
        <v>30</v>
      </c>
      <c r="AD343" s="1066">
        <f>AC343*('Ввод исходных данных'!$D$83-AA343)</f>
        <v>1347</v>
      </c>
      <c r="AE343" s="1067">
        <v>-35.1</v>
      </c>
      <c r="AF343" s="1067"/>
      <c r="AG343" s="1067">
        <v>31</v>
      </c>
      <c r="AH343" s="1067">
        <f>AG343*('Ввод исходных данных'!$D$83-AE343)</f>
        <v>1646.1000000000001</v>
      </c>
      <c r="AI343" s="1068">
        <v>-37.6</v>
      </c>
      <c r="AJ343" s="1068"/>
      <c r="AK343" s="1068">
        <v>31</v>
      </c>
      <c r="AL343" s="1068">
        <f>AK343*('Ввод исходных данных'!$D$83-AI343)</f>
        <v>1723.6000000000001</v>
      </c>
      <c r="AM343" s="1069">
        <v>-33.799999999999997</v>
      </c>
      <c r="AN343" s="1069"/>
      <c r="AO343" s="1069">
        <v>28</v>
      </c>
      <c r="AP343" s="1069">
        <f>AO343*('Ввод исходных данных'!$D$83-AM343)</f>
        <v>1450.3999999999999</v>
      </c>
      <c r="AQ343" s="1064">
        <v>-21.2</v>
      </c>
      <c r="AR343" s="1064"/>
      <c r="AS343" s="1064">
        <f t="shared" si="65"/>
        <v>31</v>
      </c>
      <c r="AT343" s="1064">
        <f>AS343*('Ввод исходных данных'!$D$83-AQ343)</f>
        <v>1215.2</v>
      </c>
      <c r="AU343" s="1070">
        <v>-8.5</v>
      </c>
      <c r="AV343" s="1070"/>
      <c r="AW343" s="1070">
        <f t="shared" si="66"/>
        <v>30</v>
      </c>
      <c r="AX343" s="1070">
        <f>AW343*('Ввод исходных данных'!$D$83-AU343)</f>
        <v>795</v>
      </c>
      <c r="AY343" s="1071">
        <v>3.6</v>
      </c>
      <c r="AZ343" s="1071"/>
      <c r="BA343" s="1071">
        <f t="shared" si="67"/>
        <v>29</v>
      </c>
      <c r="BB343" s="1071">
        <f>BA343*('Ввод исходных данных'!$D$83-AY343)</f>
        <v>417.6</v>
      </c>
      <c r="BC343" s="1072">
        <v>13.2</v>
      </c>
      <c r="BD343" s="1072"/>
      <c r="BE343" s="1072">
        <f t="shared" si="59"/>
        <v>0</v>
      </c>
      <c r="BF343" s="1073">
        <f>BE343*('Ввод исходных данных'!$D$83-BC343)</f>
        <v>0</v>
      </c>
    </row>
    <row r="344" spans="2:58" ht="15.75" customHeight="1" x14ac:dyDescent="0.25">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10336.799999999999</v>
      </c>
      <c r="J344" s="1059" t="str">
        <f t="shared" si="58"/>
        <v>10000-11000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76.95</v>
      </c>
      <c r="S344" s="1064">
        <v>1.7</v>
      </c>
      <c r="T344" s="1064"/>
      <c r="U344" s="1064">
        <f t="shared" si="62"/>
        <v>30</v>
      </c>
      <c r="V344" s="1064">
        <f>U344*('Ввод исходных данных'!$D$83-S344)</f>
        <v>489</v>
      </c>
      <c r="W344" s="1065">
        <v>-12.1</v>
      </c>
      <c r="X344" s="1065"/>
      <c r="Y344" s="1065">
        <f t="shared" si="63"/>
        <v>31</v>
      </c>
      <c r="Z344" s="1065">
        <f>Y344*('Ввод исходных данных'!$D$83-W344)</f>
        <v>933.1</v>
      </c>
      <c r="AA344" s="1066">
        <v>-27.4</v>
      </c>
      <c r="AB344" s="1066"/>
      <c r="AC344" s="1066">
        <f t="shared" si="64"/>
        <v>30</v>
      </c>
      <c r="AD344" s="1066">
        <f>AC344*('Ввод исходных данных'!$D$83-AA344)</f>
        <v>1362</v>
      </c>
      <c r="AE344" s="1067">
        <v>-33.1</v>
      </c>
      <c r="AF344" s="1067"/>
      <c r="AG344" s="1067">
        <v>31</v>
      </c>
      <c r="AH344" s="1067">
        <f>AG344*('Ввод исходных данных'!$D$83-AE344)</f>
        <v>1584.1000000000001</v>
      </c>
      <c r="AI344" s="1068">
        <v>-34.6</v>
      </c>
      <c r="AJ344" s="1068"/>
      <c r="AK344" s="1068">
        <v>31</v>
      </c>
      <c r="AL344" s="1068">
        <f>AK344*('Ввод исходных данных'!$D$83-AI344)</f>
        <v>1630.6000000000001</v>
      </c>
      <c r="AM344" s="1069">
        <v>-32.4</v>
      </c>
      <c r="AN344" s="1069"/>
      <c r="AO344" s="1069">
        <v>28</v>
      </c>
      <c r="AP344" s="1069">
        <f>AO344*('Ввод исходных данных'!$D$83-AM344)</f>
        <v>1411.2</v>
      </c>
      <c r="AQ344" s="1064">
        <v>-23.6</v>
      </c>
      <c r="AR344" s="1064"/>
      <c r="AS344" s="1064">
        <f t="shared" si="65"/>
        <v>31</v>
      </c>
      <c r="AT344" s="1064">
        <f>AS344*('Ввод исходных данных'!$D$83-AQ344)</f>
        <v>1289.6000000000001</v>
      </c>
      <c r="AU344" s="1070">
        <v>-12.7</v>
      </c>
      <c r="AV344" s="1070"/>
      <c r="AW344" s="1070">
        <f t="shared" si="66"/>
        <v>30</v>
      </c>
      <c r="AX344" s="1070">
        <f>AW344*('Ввод исходных данных'!$D$83-AU344)</f>
        <v>921</v>
      </c>
      <c r="AY344" s="1071">
        <v>-0.2</v>
      </c>
      <c r="AZ344" s="1071"/>
      <c r="BA344" s="1071">
        <f t="shared" si="67"/>
        <v>31</v>
      </c>
      <c r="BB344" s="1071">
        <f>BA344*('Ввод исходных данных'!$D$83-AY344)</f>
        <v>564.19999999999993</v>
      </c>
      <c r="BC344" s="1072">
        <v>9.3000000000000007</v>
      </c>
      <c r="BD344" s="1072"/>
      <c r="BE344" s="1072">
        <f t="shared" si="59"/>
        <v>9.5</v>
      </c>
      <c r="BF344" s="1073">
        <f>BE344*('Ввод исходных данных'!$D$83-BC344)</f>
        <v>82.649999999999991</v>
      </c>
    </row>
    <row r="345" spans="2:58" ht="15.75" customHeight="1" x14ac:dyDescent="0.25">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10073.699999999999</v>
      </c>
      <c r="J345" s="1059" t="str">
        <f t="shared" si="58"/>
        <v>10000-11000</v>
      </c>
      <c r="K345" s="1060">
        <v>14.6</v>
      </c>
      <c r="L345" s="1060"/>
      <c r="M345" s="1061">
        <f t="shared" si="60"/>
        <v>0.5</v>
      </c>
      <c r="N345" s="1062">
        <f>M345*('Ввод исходных данных'!$D$83-K345)</f>
        <v>1.7000000000000002</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429</v>
      </c>
      <c r="W345" s="1065">
        <v>-9.1999999999999993</v>
      </c>
      <c r="X345" s="1065"/>
      <c r="Y345" s="1065">
        <f t="shared" si="63"/>
        <v>31</v>
      </c>
      <c r="Z345" s="1065">
        <f>Y345*('Ввод исходных данных'!$D$83-W345)</f>
        <v>843.19999999999993</v>
      </c>
      <c r="AA345" s="1066">
        <v>-27.1</v>
      </c>
      <c r="AB345" s="1066"/>
      <c r="AC345" s="1066">
        <f t="shared" si="64"/>
        <v>30</v>
      </c>
      <c r="AD345" s="1066">
        <f>AC345*('Ввод исходных данных'!$D$83-AA345)</f>
        <v>1353</v>
      </c>
      <c r="AE345" s="1067">
        <v>-36.6</v>
      </c>
      <c r="AF345" s="1067"/>
      <c r="AG345" s="1067">
        <v>31</v>
      </c>
      <c r="AH345" s="1067">
        <f>AG345*('Ввод исходных данных'!$D$83-AE345)</f>
        <v>1692.6000000000001</v>
      </c>
      <c r="AI345" s="1068">
        <v>-38.1</v>
      </c>
      <c r="AJ345" s="1068"/>
      <c r="AK345" s="1068">
        <v>31</v>
      </c>
      <c r="AL345" s="1068">
        <f>AK345*('Ввод исходных данных'!$D$83-AI345)</f>
        <v>1739.1000000000001</v>
      </c>
      <c r="AM345" s="1069">
        <v>-33.299999999999997</v>
      </c>
      <c r="AN345" s="1069"/>
      <c r="AO345" s="1069">
        <v>28</v>
      </c>
      <c r="AP345" s="1069">
        <f>AO345*('Ввод исходных данных'!$D$83-AM345)</f>
        <v>1436.3999999999999</v>
      </c>
      <c r="AQ345" s="1064">
        <v>-21.5</v>
      </c>
      <c r="AR345" s="1064"/>
      <c r="AS345" s="1064">
        <f t="shared" si="65"/>
        <v>31</v>
      </c>
      <c r="AT345" s="1064">
        <f>AS345*('Ввод исходных данных'!$D$83-AQ345)</f>
        <v>1224.5</v>
      </c>
      <c r="AU345" s="1070">
        <v>-7.3</v>
      </c>
      <c r="AV345" s="1070"/>
      <c r="AW345" s="1070">
        <f t="shared" si="66"/>
        <v>30</v>
      </c>
      <c r="AX345" s="1070">
        <f>AW345*('Ввод исходных данных'!$D$83-AU345)</f>
        <v>759</v>
      </c>
      <c r="AY345" s="1071">
        <v>3.9</v>
      </c>
      <c r="AZ345" s="1071"/>
      <c r="BA345" s="1071">
        <f t="shared" si="67"/>
        <v>30.5</v>
      </c>
      <c r="BB345" s="1071">
        <f>BA345*('Ввод исходных данных'!$D$83-AY345)</f>
        <v>430.05</v>
      </c>
      <c r="BC345" s="1072">
        <v>11.8</v>
      </c>
      <c r="BD345" s="1072"/>
      <c r="BE345" s="1072">
        <f t="shared" si="59"/>
        <v>0</v>
      </c>
      <c r="BF345" s="1073">
        <f>BE345*('Ввод исходных данных'!$D$83-BC345)</f>
        <v>0</v>
      </c>
    </row>
    <row r="346" spans="2:58" ht="15.75" customHeight="1" x14ac:dyDescent="0.25">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9196.2000000000007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312.5</v>
      </c>
      <c r="W346" s="1065">
        <v>-6.7</v>
      </c>
      <c r="X346" s="1065"/>
      <c r="Y346" s="1065">
        <f t="shared" si="63"/>
        <v>31</v>
      </c>
      <c r="Z346" s="1065">
        <f>Y346*('Ввод исходных данных'!$D$83-W346)</f>
        <v>765.69999999999993</v>
      </c>
      <c r="AA346" s="1066">
        <v>-24.4</v>
      </c>
      <c r="AB346" s="1066"/>
      <c r="AC346" s="1066">
        <f t="shared" si="64"/>
        <v>30</v>
      </c>
      <c r="AD346" s="1066">
        <f>AC346*('Ввод исходных данных'!$D$83-AA346)</f>
        <v>1272</v>
      </c>
      <c r="AE346" s="1067">
        <v>-33.9</v>
      </c>
      <c r="AF346" s="1067"/>
      <c r="AG346" s="1067">
        <v>31</v>
      </c>
      <c r="AH346" s="1067">
        <f>AG346*('Ввод исходных данных'!$D$83-AE346)</f>
        <v>1608.8999999999999</v>
      </c>
      <c r="AI346" s="1068">
        <v>-35.5</v>
      </c>
      <c r="AJ346" s="1068"/>
      <c r="AK346" s="1068">
        <v>31</v>
      </c>
      <c r="AL346" s="1068">
        <f>AK346*('Ввод исходных данных'!$D$83-AI346)</f>
        <v>1658.5</v>
      </c>
      <c r="AM346" s="1069">
        <v>-31.6</v>
      </c>
      <c r="AN346" s="1069"/>
      <c r="AO346" s="1069">
        <v>28</v>
      </c>
      <c r="AP346" s="1069">
        <f>AO346*('Ввод исходных данных'!$D$83-AM346)</f>
        <v>1388.8</v>
      </c>
      <c r="AQ346" s="1064">
        <v>-20</v>
      </c>
      <c r="AR346" s="1064"/>
      <c r="AS346" s="1064">
        <f t="shared" si="65"/>
        <v>31</v>
      </c>
      <c r="AT346" s="1064">
        <f>AS346*('Ввод исходных данных'!$D$83-AQ346)</f>
        <v>1178</v>
      </c>
      <c r="AU346" s="1070">
        <v>-5.8</v>
      </c>
      <c r="AV346" s="1070"/>
      <c r="AW346" s="1070">
        <f t="shared" si="66"/>
        <v>30</v>
      </c>
      <c r="AX346" s="1070">
        <f>AW346*('Ввод исходных данных'!$D$83-AU346)</f>
        <v>714</v>
      </c>
      <c r="AY346" s="1071">
        <v>5.4</v>
      </c>
      <c r="AZ346" s="1071"/>
      <c r="BA346" s="1071">
        <f t="shared" si="67"/>
        <v>25</v>
      </c>
      <c r="BB346" s="1071">
        <f>BA346*('Ввод исходных данных'!$D$83-AY346)</f>
        <v>315</v>
      </c>
      <c r="BC346" s="1072">
        <v>13.7</v>
      </c>
      <c r="BD346" s="1072"/>
      <c r="BE346" s="1072">
        <f t="shared" si="59"/>
        <v>0</v>
      </c>
      <c r="BF346" s="1073">
        <f>BE346*('Ввод исходных данных'!$D$83-BC346)</f>
        <v>0</v>
      </c>
    </row>
    <row r="347" spans="2:58" ht="15.75" customHeight="1" x14ac:dyDescent="0.25">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11109.699999999999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421.8</v>
      </c>
      <c r="W347" s="1065">
        <v>-13</v>
      </c>
      <c r="X347" s="1065"/>
      <c r="Y347" s="1065">
        <f t="shared" si="63"/>
        <v>31</v>
      </c>
      <c r="Z347" s="1065">
        <f>Y347*('Ввод исходных данных'!$D$83-W347)</f>
        <v>961</v>
      </c>
      <c r="AA347" s="1066">
        <v>-33.6</v>
      </c>
      <c r="AB347" s="1066"/>
      <c r="AC347" s="1066">
        <f t="shared" si="64"/>
        <v>30</v>
      </c>
      <c r="AD347" s="1066">
        <f>AC347*('Ввод исходных данных'!$D$83-AA347)</f>
        <v>1548</v>
      </c>
      <c r="AE347" s="1067">
        <v>-42.1</v>
      </c>
      <c r="AF347" s="1067"/>
      <c r="AG347" s="1067">
        <v>31</v>
      </c>
      <c r="AH347" s="1067">
        <f>AG347*('Ввод исходных данных'!$D$83-AE347)</f>
        <v>1863.1000000000001</v>
      </c>
      <c r="AI347" s="1068">
        <v>-43.5</v>
      </c>
      <c r="AJ347" s="1068"/>
      <c r="AK347" s="1068">
        <v>31</v>
      </c>
      <c r="AL347" s="1068">
        <f>AK347*('Ввод исходных данных'!$D$83-AI347)</f>
        <v>1906.5</v>
      </c>
      <c r="AM347" s="1069">
        <v>-38.6</v>
      </c>
      <c r="AN347" s="1069"/>
      <c r="AO347" s="1069">
        <v>28</v>
      </c>
      <c r="AP347" s="1069">
        <f>AO347*('Ввод исходных данных'!$D$83-AM347)</f>
        <v>1584.8</v>
      </c>
      <c r="AQ347" s="1064">
        <v>-26.5</v>
      </c>
      <c r="AR347" s="1064"/>
      <c r="AS347" s="1064">
        <f t="shared" si="65"/>
        <v>31</v>
      </c>
      <c r="AT347" s="1064">
        <f>AS347*('Ввод исходных данных'!$D$83-AQ347)</f>
        <v>1379.5</v>
      </c>
      <c r="AU347" s="1070">
        <v>-10.3</v>
      </c>
      <c r="AV347" s="1070"/>
      <c r="AW347" s="1070">
        <f t="shared" si="66"/>
        <v>30</v>
      </c>
      <c r="AX347" s="1070">
        <f>AW347*('Ввод исходных данных'!$D$83-AU347)</f>
        <v>849</v>
      </c>
      <c r="AY347" s="1071">
        <v>4.0999999999999996</v>
      </c>
      <c r="AZ347" s="1071"/>
      <c r="BA347" s="1071">
        <f t="shared" si="67"/>
        <v>28.5</v>
      </c>
      <c r="BB347" s="1071">
        <f>BA347*('Ввод исходных данных'!$D$83-AY347)</f>
        <v>396.15000000000003</v>
      </c>
      <c r="BC347" s="1072">
        <v>13.2</v>
      </c>
      <c r="BD347" s="1072"/>
      <c r="BE347" s="1072">
        <f t="shared" si="59"/>
        <v>0</v>
      </c>
      <c r="BF347" s="1073">
        <f>BE347*('Ввод исходных данных'!$D$83-BC347)</f>
        <v>0</v>
      </c>
    </row>
    <row r="348" spans="2:58" ht="15.75" customHeight="1" x14ac:dyDescent="0.25">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8990.7999999999993</v>
      </c>
      <c r="J348" s="1059" t="str">
        <f t="shared" si="58"/>
        <v>8000-9000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340.2</v>
      </c>
      <c r="W348" s="1065">
        <v>-6.3</v>
      </c>
      <c r="X348" s="1065"/>
      <c r="Y348" s="1065">
        <f t="shared" si="63"/>
        <v>31</v>
      </c>
      <c r="Z348" s="1065">
        <f>Y348*('Ввод исходных данных'!$D$83-W348)</f>
        <v>753.30000000000007</v>
      </c>
      <c r="AA348" s="1066">
        <v>-23.6</v>
      </c>
      <c r="AB348" s="1066"/>
      <c r="AC348" s="1066">
        <f t="shared" si="64"/>
        <v>30</v>
      </c>
      <c r="AD348" s="1066">
        <f>AC348*('Ввод исходных данных'!$D$83-AA348)</f>
        <v>1248</v>
      </c>
      <c r="AE348" s="1067">
        <v>-31.2</v>
      </c>
      <c r="AF348" s="1067"/>
      <c r="AG348" s="1067">
        <v>31</v>
      </c>
      <c r="AH348" s="1067">
        <f>AG348*('Ввод исходных данных'!$D$83-AE348)</f>
        <v>1525.2</v>
      </c>
      <c r="AI348" s="1068">
        <v>-33.200000000000003</v>
      </c>
      <c r="AJ348" s="1068"/>
      <c r="AK348" s="1068">
        <v>31</v>
      </c>
      <c r="AL348" s="1068">
        <f>AK348*('Ввод исходных данных'!$D$83-AI348)</f>
        <v>1587.2</v>
      </c>
      <c r="AM348" s="1069">
        <v>-29.3</v>
      </c>
      <c r="AN348" s="1069"/>
      <c r="AO348" s="1069">
        <v>28</v>
      </c>
      <c r="AP348" s="1069">
        <f>AO348*('Ввод исходных данных'!$D$83-AM348)</f>
        <v>1324.3999999999999</v>
      </c>
      <c r="AQ348" s="1064">
        <v>-18.8</v>
      </c>
      <c r="AR348" s="1064"/>
      <c r="AS348" s="1064">
        <f t="shared" si="65"/>
        <v>31</v>
      </c>
      <c r="AT348" s="1064">
        <f>AS348*('Ввод исходных данных'!$D$83-AQ348)</f>
        <v>1140.8</v>
      </c>
      <c r="AU348" s="1070">
        <v>-6.4</v>
      </c>
      <c r="AV348" s="1070"/>
      <c r="AW348" s="1070">
        <f t="shared" si="66"/>
        <v>30</v>
      </c>
      <c r="AX348" s="1070">
        <f>AW348*('Ввод исходных данных'!$D$83-AU348)</f>
        <v>732</v>
      </c>
      <c r="AY348" s="1071">
        <v>4.3</v>
      </c>
      <c r="AZ348" s="1071"/>
      <c r="BA348" s="1071">
        <f t="shared" si="67"/>
        <v>27</v>
      </c>
      <c r="BB348" s="1071">
        <f>BA348*('Ввод исходных данных'!$D$83-AY348)</f>
        <v>369.9</v>
      </c>
      <c r="BC348" s="1072">
        <v>13.3</v>
      </c>
      <c r="BD348" s="1072"/>
      <c r="BE348" s="1072">
        <f t="shared" si="59"/>
        <v>0</v>
      </c>
      <c r="BF348" s="1073">
        <f>BE348*('Ввод исходных данных'!$D$83-BC348)</f>
        <v>0</v>
      </c>
    </row>
    <row r="349" spans="2:58" ht="15.75" customHeight="1" x14ac:dyDescent="0.25">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8829.4000000000015</v>
      </c>
      <c r="J349" s="1059" t="str">
        <f t="shared" si="58"/>
        <v>8000-9000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322.5</v>
      </c>
      <c r="W349" s="1065">
        <v>-5.9</v>
      </c>
      <c r="X349" s="1065"/>
      <c r="Y349" s="1065">
        <f t="shared" si="63"/>
        <v>31</v>
      </c>
      <c r="Z349" s="1065">
        <f>Y349*('Ввод исходных данных'!$D$83-W349)</f>
        <v>740.9</v>
      </c>
      <c r="AA349" s="1066">
        <v>-22.6</v>
      </c>
      <c r="AB349" s="1066"/>
      <c r="AC349" s="1066">
        <f t="shared" si="64"/>
        <v>30</v>
      </c>
      <c r="AD349" s="1066">
        <f>AC349*('Ввод исходных данных'!$D$83-AA349)</f>
        <v>1218</v>
      </c>
      <c r="AE349" s="1067">
        <v>-32.200000000000003</v>
      </c>
      <c r="AF349" s="1067"/>
      <c r="AG349" s="1067">
        <v>31</v>
      </c>
      <c r="AH349" s="1067">
        <f>AG349*('Ввод исходных данных'!$D$83-AE349)</f>
        <v>1556.2</v>
      </c>
      <c r="AI349" s="1068">
        <v>-33.1</v>
      </c>
      <c r="AJ349" s="1068"/>
      <c r="AK349" s="1068">
        <v>31</v>
      </c>
      <c r="AL349" s="1068">
        <f>AK349*('Ввод исходных данных'!$D$83-AI349)</f>
        <v>1584.1000000000001</v>
      </c>
      <c r="AM349" s="1069">
        <v>-29.9</v>
      </c>
      <c r="AN349" s="1069"/>
      <c r="AO349" s="1069">
        <v>28</v>
      </c>
      <c r="AP349" s="1069">
        <f>AO349*('Ввод исходных данных'!$D$83-AM349)</f>
        <v>1341.2</v>
      </c>
      <c r="AQ349" s="1064">
        <v>-18.2</v>
      </c>
      <c r="AR349" s="1064"/>
      <c r="AS349" s="1064">
        <f t="shared" si="65"/>
        <v>31</v>
      </c>
      <c r="AT349" s="1064">
        <f>AS349*('Ввод исходных данных'!$D$83-AQ349)</f>
        <v>1122.2</v>
      </c>
      <c r="AU349" s="1070">
        <v>-4.5</v>
      </c>
      <c r="AV349" s="1070"/>
      <c r="AW349" s="1070">
        <f t="shared" si="66"/>
        <v>30</v>
      </c>
      <c r="AX349" s="1070">
        <f>AW349*('Ввод исходных данных'!$D$83-AU349)</f>
        <v>675</v>
      </c>
      <c r="AY349" s="1071">
        <v>5.7</v>
      </c>
      <c r="AZ349" s="1071"/>
      <c r="BA349" s="1071">
        <f t="shared" si="67"/>
        <v>25</v>
      </c>
      <c r="BB349" s="1071">
        <f>BA349*('Ввод исходных данных'!$D$83-AY349)</f>
        <v>307.5</v>
      </c>
      <c r="BC349" s="1072">
        <v>13.6</v>
      </c>
      <c r="BD349" s="1072"/>
      <c r="BE349" s="1072">
        <f t="shared" si="59"/>
        <v>0</v>
      </c>
      <c r="BF349" s="1073">
        <f>BE349*('Ввод исходных данных'!$D$83-BC349)</f>
        <v>0</v>
      </c>
    </row>
    <row r="350" spans="2:58" ht="15.75" customHeight="1" x14ac:dyDescent="0.25">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9738.7999999999993</v>
      </c>
      <c r="J350" s="1059" t="str">
        <f t="shared" si="58"/>
        <v>9000-10000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232.05</v>
      </c>
      <c r="W350" s="1065">
        <v>-7.4</v>
      </c>
      <c r="X350" s="1065"/>
      <c r="Y350" s="1065">
        <f t="shared" si="63"/>
        <v>31</v>
      </c>
      <c r="Z350" s="1065">
        <f>Y350*('Ввод исходных данных'!$D$83-W350)</f>
        <v>787.4</v>
      </c>
      <c r="AA350" s="1066">
        <v>-27.6</v>
      </c>
      <c r="AB350" s="1066"/>
      <c r="AC350" s="1066">
        <f t="shared" si="64"/>
        <v>30</v>
      </c>
      <c r="AD350" s="1066">
        <f>AC350*('Ввод исходных данных'!$D$83-AA350)</f>
        <v>1368</v>
      </c>
      <c r="AE350" s="1067">
        <v>-38.799999999999997</v>
      </c>
      <c r="AF350" s="1067"/>
      <c r="AG350" s="1067">
        <v>31</v>
      </c>
      <c r="AH350" s="1067">
        <f>AG350*('Ввод исходных данных'!$D$83-AE350)</f>
        <v>1760.8</v>
      </c>
      <c r="AI350" s="1068">
        <v>-40.299999999999997</v>
      </c>
      <c r="AJ350" s="1068"/>
      <c r="AK350" s="1068">
        <v>31</v>
      </c>
      <c r="AL350" s="1068">
        <f>AK350*('Ввод исходных данных'!$D$83-AI350)</f>
        <v>1807.3</v>
      </c>
      <c r="AM350" s="1069">
        <v>-34.9</v>
      </c>
      <c r="AN350" s="1069"/>
      <c r="AO350" s="1069">
        <v>28</v>
      </c>
      <c r="AP350" s="1069">
        <f>AO350*('Ввод исходных данных'!$D$83-AM350)</f>
        <v>1481.2</v>
      </c>
      <c r="AQ350" s="1064">
        <v>-20.100000000000001</v>
      </c>
      <c r="AR350" s="1064"/>
      <c r="AS350" s="1064">
        <f t="shared" si="65"/>
        <v>31</v>
      </c>
      <c r="AT350" s="1064">
        <f>AS350*('Ввод исходных данных'!$D$83-AQ350)</f>
        <v>1181.1000000000001</v>
      </c>
      <c r="AU350" s="1070">
        <v>-4</v>
      </c>
      <c r="AV350" s="1070"/>
      <c r="AW350" s="1070">
        <f t="shared" si="66"/>
        <v>30</v>
      </c>
      <c r="AX350" s="1070">
        <f>AW350*('Ввод исходных данных'!$D$83-AU350)</f>
        <v>660</v>
      </c>
      <c r="AY350" s="1071">
        <v>7.4</v>
      </c>
      <c r="AZ350" s="1071"/>
      <c r="BA350" s="1071">
        <f t="shared" si="67"/>
        <v>19.5</v>
      </c>
      <c r="BB350" s="1071">
        <f>BA350*('Ввод исходных данных'!$D$83-AY350)</f>
        <v>206.7</v>
      </c>
      <c r="BC350" s="1072">
        <v>15.5</v>
      </c>
      <c r="BD350" s="1072"/>
      <c r="BE350" s="1072">
        <f t="shared" si="59"/>
        <v>0</v>
      </c>
      <c r="BF350" s="1073">
        <f>BE350*('Ввод исходных данных'!$D$83-BC350)</f>
        <v>0</v>
      </c>
    </row>
    <row r="351" spans="2:58" ht="15.75" customHeight="1" x14ac:dyDescent="0.25">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9557.1</v>
      </c>
      <c r="J351" s="1059" t="str">
        <f t="shared" si="58"/>
        <v>9000-10000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293.75</v>
      </c>
      <c r="W351" s="1065">
        <v>-7.3</v>
      </c>
      <c r="X351" s="1065"/>
      <c r="Y351" s="1065">
        <f t="shared" si="63"/>
        <v>31</v>
      </c>
      <c r="Z351" s="1065">
        <f>Y351*('Ввод исходных данных'!$D$83-W351)</f>
        <v>784.30000000000007</v>
      </c>
      <c r="AA351" s="1066">
        <v>-27</v>
      </c>
      <c r="AB351" s="1066"/>
      <c r="AC351" s="1066">
        <f t="shared" si="64"/>
        <v>30</v>
      </c>
      <c r="AD351" s="1066">
        <f>AC351*('Ввод исходных данных'!$D$83-AA351)</f>
        <v>1350</v>
      </c>
      <c r="AE351" s="1067">
        <v>-37.700000000000003</v>
      </c>
      <c r="AF351" s="1067"/>
      <c r="AG351" s="1067">
        <v>31</v>
      </c>
      <c r="AH351" s="1067">
        <f>AG351*('Ввод исходных данных'!$D$83-AE351)</f>
        <v>1726.7</v>
      </c>
      <c r="AI351" s="1068">
        <v>-39.6</v>
      </c>
      <c r="AJ351" s="1068"/>
      <c r="AK351" s="1068">
        <v>31</v>
      </c>
      <c r="AL351" s="1068">
        <f>AK351*('Ввод исходных данных'!$D$83-AI351)</f>
        <v>1785.6000000000001</v>
      </c>
      <c r="AM351" s="1069">
        <v>-34.200000000000003</v>
      </c>
      <c r="AN351" s="1069"/>
      <c r="AO351" s="1069">
        <v>28</v>
      </c>
      <c r="AP351" s="1069">
        <f>AO351*('Ввод исходных данных'!$D$83-AM351)</f>
        <v>1461.6000000000001</v>
      </c>
      <c r="AQ351" s="1064">
        <v>-21</v>
      </c>
      <c r="AR351" s="1064"/>
      <c r="AS351" s="1064">
        <f t="shared" si="65"/>
        <v>31</v>
      </c>
      <c r="AT351" s="1064">
        <f>AS351*('Ввод исходных данных'!$D$83-AQ351)</f>
        <v>1209</v>
      </c>
      <c r="AU351" s="1070">
        <v>-5.2</v>
      </c>
      <c r="AV351" s="1070"/>
      <c r="AW351" s="1070">
        <f t="shared" si="66"/>
        <v>30</v>
      </c>
      <c r="AX351" s="1070">
        <f>AW351*('Ввод исходных данных'!$D$83-AU351)</f>
        <v>696</v>
      </c>
      <c r="AY351" s="1071">
        <v>6.1</v>
      </c>
      <c r="AZ351" s="1071"/>
      <c r="BA351" s="1071">
        <f t="shared" si="67"/>
        <v>23.5</v>
      </c>
      <c r="BB351" s="1071">
        <f>BA351*('Ввод исходных данных'!$D$83-AY351)</f>
        <v>279.65000000000003</v>
      </c>
      <c r="BC351" s="1072">
        <v>13.9</v>
      </c>
      <c r="BD351" s="1072"/>
      <c r="BE351" s="1072">
        <f t="shared" si="59"/>
        <v>0</v>
      </c>
      <c r="BF351" s="1073">
        <f>BE351*('Ввод исходных данных'!$D$83-BC351)</f>
        <v>0</v>
      </c>
    </row>
    <row r="352" spans="2:58" ht="15.75" customHeight="1" x14ac:dyDescent="0.25">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11240.7</v>
      </c>
      <c r="J352" s="1059" t="str">
        <f t="shared" si="58"/>
        <v>11000-12000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409.75</v>
      </c>
      <c r="W352" s="1065">
        <v>-13.9</v>
      </c>
      <c r="X352" s="1065"/>
      <c r="Y352" s="1065">
        <f t="shared" si="63"/>
        <v>31</v>
      </c>
      <c r="Z352" s="1065">
        <f>Y352*('Ввод исходных данных'!$D$83-W352)</f>
        <v>988.9</v>
      </c>
      <c r="AA352" s="1066">
        <v>-33.4</v>
      </c>
      <c r="AB352" s="1066"/>
      <c r="AC352" s="1066">
        <f t="shared" si="64"/>
        <v>30</v>
      </c>
      <c r="AD352" s="1066">
        <f>AC352*('Ввод исходных данных'!$D$83-AA352)</f>
        <v>1542</v>
      </c>
      <c r="AE352" s="1067">
        <v>-41.7</v>
      </c>
      <c r="AF352" s="1067"/>
      <c r="AG352" s="1067">
        <v>31</v>
      </c>
      <c r="AH352" s="1067">
        <f>AG352*('Ввод исходных данных'!$D$83-AE352)</f>
        <v>1850.7</v>
      </c>
      <c r="AI352" s="1068">
        <v>-43.4</v>
      </c>
      <c r="AJ352" s="1068"/>
      <c r="AK352" s="1068">
        <v>31</v>
      </c>
      <c r="AL352" s="1068">
        <f>AK352*('Ввод исходных данных'!$D$83-AI352)</f>
        <v>1903.3999999999999</v>
      </c>
      <c r="AM352" s="1069">
        <v>-39.4</v>
      </c>
      <c r="AN352" s="1069"/>
      <c r="AO352" s="1069">
        <v>28</v>
      </c>
      <c r="AP352" s="1069">
        <f>AO352*('Ввод исходных данных'!$D$83-AM352)</f>
        <v>1607.2</v>
      </c>
      <c r="AQ352" s="1064">
        <v>-28.1</v>
      </c>
      <c r="AR352" s="1064"/>
      <c r="AS352" s="1064">
        <f t="shared" si="65"/>
        <v>31</v>
      </c>
      <c r="AT352" s="1064">
        <f>AS352*('Ввод исходных данных'!$D$83-AQ352)</f>
        <v>1429.1000000000001</v>
      </c>
      <c r="AU352" s="1070">
        <v>-12.2</v>
      </c>
      <c r="AV352" s="1070"/>
      <c r="AW352" s="1070">
        <f t="shared" si="66"/>
        <v>30</v>
      </c>
      <c r="AX352" s="1070">
        <f>AW352*('Ввод исходных данных'!$D$83-AU352)</f>
        <v>906</v>
      </c>
      <c r="AY352" s="1071">
        <v>4</v>
      </c>
      <c r="AZ352" s="1071"/>
      <c r="BA352" s="1071">
        <f t="shared" si="67"/>
        <v>27.5</v>
      </c>
      <c r="BB352" s="1071">
        <f>BA352*('Ввод исходных данных'!$D$83-AY352)</f>
        <v>385</v>
      </c>
      <c r="BC352" s="1072">
        <v>13.5</v>
      </c>
      <c r="BD352" s="1072"/>
      <c r="BE352" s="1072">
        <f t="shared" si="59"/>
        <v>0</v>
      </c>
      <c r="BF352" s="1073">
        <f>BE352*('Ввод исходных данных'!$D$83-BC352)</f>
        <v>0</v>
      </c>
    </row>
    <row r="353" spans="2:58" ht="15.75" customHeight="1" x14ac:dyDescent="0.25">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8884.4</v>
      </c>
      <c r="J353" s="1059" t="str">
        <f t="shared" si="58"/>
        <v>8000-9000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364.5</v>
      </c>
      <c r="W353" s="1065">
        <v>-7.3</v>
      </c>
      <c r="X353" s="1065"/>
      <c r="Y353" s="1065">
        <f t="shared" si="63"/>
        <v>31</v>
      </c>
      <c r="Z353" s="1065">
        <f>Y353*('Ввод исходных данных'!$D$83-W353)</f>
        <v>784.30000000000007</v>
      </c>
      <c r="AA353" s="1066">
        <v>-21.4</v>
      </c>
      <c r="AB353" s="1066"/>
      <c r="AC353" s="1066">
        <f t="shared" si="64"/>
        <v>30</v>
      </c>
      <c r="AD353" s="1066">
        <f>AC353*('Ввод исходных данных'!$D$83-AA353)</f>
        <v>1182</v>
      </c>
      <c r="AE353" s="1067">
        <v>-30</v>
      </c>
      <c r="AF353" s="1067"/>
      <c r="AG353" s="1067">
        <v>31</v>
      </c>
      <c r="AH353" s="1067">
        <f>AG353*('Ввод исходных данных'!$D$83-AE353)</f>
        <v>1488</v>
      </c>
      <c r="AI353" s="1068">
        <v>-31.1</v>
      </c>
      <c r="AJ353" s="1068"/>
      <c r="AK353" s="1068">
        <v>31</v>
      </c>
      <c r="AL353" s="1068">
        <f>AK353*('Ввод исходных данных'!$D$83-AI353)</f>
        <v>1522.1000000000001</v>
      </c>
      <c r="AM353" s="1069">
        <v>-26.3</v>
      </c>
      <c r="AN353" s="1069"/>
      <c r="AO353" s="1069">
        <v>28</v>
      </c>
      <c r="AP353" s="1069">
        <f>AO353*('Ввод исходных данных'!$D$83-AM353)</f>
        <v>1240.3999999999999</v>
      </c>
      <c r="AQ353" s="1064">
        <v>-16.2</v>
      </c>
      <c r="AR353" s="1064"/>
      <c r="AS353" s="1064">
        <f t="shared" si="65"/>
        <v>31</v>
      </c>
      <c r="AT353" s="1064">
        <f>AS353*('Ввод исходных данных'!$D$83-AQ353)</f>
        <v>1060.2</v>
      </c>
      <c r="AU353" s="1070">
        <v>-5.0999999999999996</v>
      </c>
      <c r="AV353" s="1070"/>
      <c r="AW353" s="1070">
        <f t="shared" si="66"/>
        <v>30</v>
      </c>
      <c r="AX353" s="1070">
        <f>AW353*('Ввод исходных данных'!$D$83-AU353)</f>
        <v>693</v>
      </c>
      <c r="AY353" s="1071">
        <v>4.5</v>
      </c>
      <c r="AZ353" s="1071"/>
      <c r="BA353" s="1071">
        <f t="shared" si="67"/>
        <v>27</v>
      </c>
      <c r="BB353" s="1071">
        <f>BA353*('Ввод исходных данных'!$D$83-AY353)</f>
        <v>364.5</v>
      </c>
      <c r="BC353" s="1072">
        <v>13.1</v>
      </c>
      <c r="BD353" s="1072"/>
      <c r="BE353" s="1072">
        <f t="shared" si="59"/>
        <v>0</v>
      </c>
      <c r="BF353" s="1073">
        <f>BE353*('Ввод исходных данных'!$D$83-BC353)</f>
        <v>0</v>
      </c>
    </row>
    <row r="354" spans="2:58" ht="15.75" customHeight="1" x14ac:dyDescent="0.25">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9512.1999999999989</v>
      </c>
      <c r="J354" s="1059" t="str">
        <f t="shared" si="58"/>
        <v>9000-10000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172.8</v>
      </c>
      <c r="W354" s="1065">
        <v>-9.4</v>
      </c>
      <c r="X354" s="1065"/>
      <c r="Y354" s="1065">
        <f t="shared" si="63"/>
        <v>31</v>
      </c>
      <c r="Z354" s="1065">
        <f>Y354*('Ввод исходных данных'!$D$83-W354)</f>
        <v>849.4</v>
      </c>
      <c r="AA354" s="1066">
        <v>-30.8</v>
      </c>
      <c r="AB354" s="1066"/>
      <c r="AC354" s="1066">
        <f t="shared" si="64"/>
        <v>30</v>
      </c>
      <c r="AD354" s="1066">
        <f>AC354*('Ввод исходных данных'!$D$83-AA354)</f>
        <v>1464</v>
      </c>
      <c r="AE354" s="1067">
        <v>-41.8</v>
      </c>
      <c r="AF354" s="1067"/>
      <c r="AG354" s="1067">
        <v>31</v>
      </c>
      <c r="AH354" s="1067">
        <f>AG354*('Ввод исходных данных'!$D$83-AE354)</f>
        <v>1853.8</v>
      </c>
      <c r="AI354" s="1068">
        <v>-44</v>
      </c>
      <c r="AJ354" s="1068"/>
      <c r="AK354" s="1068">
        <v>31</v>
      </c>
      <c r="AL354" s="1068">
        <f>AK354*('Ввод исходных данных'!$D$83-AI354)</f>
        <v>1922</v>
      </c>
      <c r="AM354" s="1069">
        <v>-38.4</v>
      </c>
      <c r="AN354" s="1069"/>
      <c r="AO354" s="1069">
        <v>28</v>
      </c>
      <c r="AP354" s="1069">
        <f>AO354*('Ввод исходных данных'!$D$83-AM354)</f>
        <v>1579.2</v>
      </c>
      <c r="AQ354" s="1064">
        <v>-24</v>
      </c>
      <c r="AR354" s="1064"/>
      <c r="AS354" s="1064">
        <f t="shared" si="65"/>
        <v>31</v>
      </c>
      <c r="AT354" s="1064">
        <f>AS354*('Ввод исходных данных'!$D$83-AQ354)</f>
        <v>1302</v>
      </c>
      <c r="AU354" s="1070">
        <v>-7.8</v>
      </c>
      <c r="AV354" s="1070"/>
      <c r="AW354" s="1070">
        <f t="shared" si="66"/>
        <v>30</v>
      </c>
      <c r="AX354" s="1070">
        <f>AW354*('Ввод исходных данных'!$D$83-AU354)</f>
        <v>774</v>
      </c>
      <c r="AY354" s="1071">
        <v>5.8</v>
      </c>
      <c r="AZ354" s="1071"/>
      <c r="BA354" s="1071">
        <f t="shared" si="67"/>
        <v>13.5</v>
      </c>
      <c r="BB354" s="1071">
        <f>BA354*('Ввод исходных данных'!$D$83-AY354)</f>
        <v>164.7</v>
      </c>
      <c r="BC354" s="1072">
        <v>14.7</v>
      </c>
      <c r="BD354" s="1072"/>
      <c r="BE354" s="1072">
        <f t="shared" si="59"/>
        <v>0</v>
      </c>
      <c r="BF354" s="1073">
        <f>BE354*('Ввод исходных данных'!$D$83-BC354)</f>
        <v>0</v>
      </c>
    </row>
    <row r="355" spans="2:58" ht="15.75" customHeight="1" x14ac:dyDescent="0.25">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10941.599999999999</v>
      </c>
      <c r="J355" s="1059" t="str">
        <f t="shared" si="58"/>
        <v>10000-11000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33.75</v>
      </c>
      <c r="S355" s="1064">
        <v>2.2999999999999998</v>
      </c>
      <c r="T355" s="1064"/>
      <c r="U355" s="1064">
        <f t="shared" si="62"/>
        <v>30</v>
      </c>
      <c r="V355" s="1064">
        <f>U355*('Ввод исходных данных'!$D$83-S355)</f>
        <v>471</v>
      </c>
      <c r="W355" s="1065">
        <v>-11.4</v>
      </c>
      <c r="X355" s="1065"/>
      <c r="Y355" s="1065">
        <f t="shared" si="63"/>
        <v>31</v>
      </c>
      <c r="Z355" s="1065">
        <f>Y355*('Ввод исходных данных'!$D$83-W355)</f>
        <v>911.4</v>
      </c>
      <c r="AA355" s="1066">
        <v>-30.7</v>
      </c>
      <c r="AB355" s="1066"/>
      <c r="AC355" s="1066">
        <f t="shared" si="64"/>
        <v>30</v>
      </c>
      <c r="AD355" s="1066">
        <f>AC355*('Ввод исходных данных'!$D$83-AA355)</f>
        <v>1461</v>
      </c>
      <c r="AE355" s="1067">
        <v>-37.9</v>
      </c>
      <c r="AF355" s="1067"/>
      <c r="AG355" s="1067">
        <v>31</v>
      </c>
      <c r="AH355" s="1067">
        <f>AG355*('Ввод исходных данных'!$D$83-AE355)</f>
        <v>1732.8999999999999</v>
      </c>
      <c r="AI355" s="1068">
        <v>-41</v>
      </c>
      <c r="AJ355" s="1068"/>
      <c r="AK355" s="1068">
        <v>31</v>
      </c>
      <c r="AL355" s="1068">
        <f>AK355*('Ввод исходных данных'!$D$83-AI355)</f>
        <v>1829</v>
      </c>
      <c r="AM355" s="1069">
        <v>-37.1</v>
      </c>
      <c r="AN355" s="1069"/>
      <c r="AO355" s="1069">
        <v>28</v>
      </c>
      <c r="AP355" s="1069">
        <f>AO355*('Ввод исходных данных'!$D$83-AM355)</f>
        <v>1542.8</v>
      </c>
      <c r="AQ355" s="1064">
        <v>-25</v>
      </c>
      <c r="AR355" s="1064"/>
      <c r="AS355" s="1064">
        <f t="shared" si="65"/>
        <v>31</v>
      </c>
      <c r="AT355" s="1064">
        <f>AS355*('Ввод исходных данных'!$D$83-AQ355)</f>
        <v>1333</v>
      </c>
      <c r="AU355" s="1070">
        <v>-11.6</v>
      </c>
      <c r="AV355" s="1070"/>
      <c r="AW355" s="1070">
        <f t="shared" si="66"/>
        <v>30</v>
      </c>
      <c r="AX355" s="1070">
        <f>AW355*('Ввод исходных данных'!$D$83-AU355)</f>
        <v>888</v>
      </c>
      <c r="AY355" s="1071">
        <v>1</v>
      </c>
      <c r="AZ355" s="1071"/>
      <c r="BA355" s="1071">
        <f t="shared" si="67"/>
        <v>31</v>
      </c>
      <c r="BB355" s="1071">
        <f>BA355*('Ввод исходных данных'!$D$83-AY355)</f>
        <v>527</v>
      </c>
      <c r="BC355" s="1072">
        <v>11.3</v>
      </c>
      <c r="BD355" s="1072"/>
      <c r="BE355" s="1072">
        <f t="shared" si="59"/>
        <v>4.5</v>
      </c>
      <c r="BF355" s="1073">
        <f>BE355*('Ввод исходных данных'!$D$83-BC355)</f>
        <v>30.15</v>
      </c>
    </row>
    <row r="356" spans="2:58" ht="15.75" customHeight="1" x14ac:dyDescent="0.25">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10366</v>
      </c>
      <c r="J356" s="1059" t="str">
        <f t="shared" si="58"/>
        <v>10000-11000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39.049999999999997</v>
      </c>
      <c r="S356" s="1064">
        <v>2.8</v>
      </c>
      <c r="T356" s="1064"/>
      <c r="U356" s="1064">
        <f t="shared" si="62"/>
        <v>30</v>
      </c>
      <c r="V356" s="1064">
        <f>U356*('Ввод исходных данных'!$D$83-S356)</f>
        <v>456</v>
      </c>
      <c r="W356" s="1065">
        <v>-10.5</v>
      </c>
      <c r="X356" s="1065"/>
      <c r="Y356" s="1065">
        <f t="shared" si="63"/>
        <v>31</v>
      </c>
      <c r="Z356" s="1065">
        <f>Y356*('Ввод исходных данных'!$D$83-W356)</f>
        <v>883.5</v>
      </c>
      <c r="AA356" s="1066">
        <v>-28.4</v>
      </c>
      <c r="AB356" s="1066"/>
      <c r="AC356" s="1066">
        <f t="shared" si="64"/>
        <v>30</v>
      </c>
      <c r="AD356" s="1066">
        <f>AC356*('Ввод исходных данных'!$D$83-AA356)</f>
        <v>1392</v>
      </c>
      <c r="AE356" s="1067">
        <v>-35.5</v>
      </c>
      <c r="AF356" s="1067"/>
      <c r="AG356" s="1067">
        <v>31</v>
      </c>
      <c r="AH356" s="1067">
        <f>AG356*('Ввод исходных данных'!$D$83-AE356)</f>
        <v>1658.5</v>
      </c>
      <c r="AI356" s="1068">
        <v>-37.700000000000003</v>
      </c>
      <c r="AJ356" s="1068"/>
      <c r="AK356" s="1068">
        <v>31</v>
      </c>
      <c r="AL356" s="1068">
        <f>AK356*('Ввод исходных данных'!$D$83-AI356)</f>
        <v>1726.7</v>
      </c>
      <c r="AM356" s="1069">
        <v>-34.200000000000003</v>
      </c>
      <c r="AN356" s="1069"/>
      <c r="AO356" s="1069">
        <v>28</v>
      </c>
      <c r="AP356" s="1069">
        <f>AO356*('Ввод исходных данных'!$D$83-AM356)</f>
        <v>1461.6000000000001</v>
      </c>
      <c r="AQ356" s="1064">
        <v>-23.8</v>
      </c>
      <c r="AR356" s="1064"/>
      <c r="AS356" s="1064">
        <f t="shared" si="65"/>
        <v>31</v>
      </c>
      <c r="AT356" s="1064">
        <f>AS356*('Ввод исходных данных'!$D$83-AQ356)</f>
        <v>1295.8</v>
      </c>
      <c r="AU356" s="1070">
        <v>-11.8</v>
      </c>
      <c r="AV356" s="1070"/>
      <c r="AW356" s="1070">
        <f t="shared" si="66"/>
        <v>30</v>
      </c>
      <c r="AX356" s="1070">
        <f>AW356*('Ввод исходных данных'!$D$83-AU356)</f>
        <v>894</v>
      </c>
      <c r="AY356" s="1071">
        <v>0</v>
      </c>
      <c r="AZ356" s="1071"/>
      <c r="BA356" s="1071">
        <f t="shared" si="67"/>
        <v>31</v>
      </c>
      <c r="BB356" s="1071">
        <f>BA356*('Ввод исходных данных'!$D$83-AY356)</f>
        <v>558</v>
      </c>
      <c r="BC356" s="1072">
        <v>10.9</v>
      </c>
      <c r="BD356" s="1072"/>
      <c r="BE356" s="1072">
        <f t="shared" si="59"/>
        <v>5.5</v>
      </c>
      <c r="BF356" s="1073">
        <f>BE356*('Ввод исходных данных'!$D$83-BC356)</f>
        <v>39.049999999999997</v>
      </c>
    </row>
    <row r="357" spans="2:58" ht="15.75" customHeight="1" x14ac:dyDescent="0.25">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9802.7999999999993</v>
      </c>
      <c r="J357" s="1059" t="str">
        <f t="shared" si="58"/>
        <v>9000-10000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242</v>
      </c>
      <c r="W357" s="1065">
        <v>-8</v>
      </c>
      <c r="X357" s="1065"/>
      <c r="Y357" s="1065">
        <f t="shared" si="63"/>
        <v>31</v>
      </c>
      <c r="Z357" s="1065">
        <f>Y357*('Ввод исходных данных'!$D$83-W357)</f>
        <v>806</v>
      </c>
      <c r="AA357" s="1066">
        <v>-28.2</v>
      </c>
      <c r="AB357" s="1066"/>
      <c r="AC357" s="1066">
        <f t="shared" si="64"/>
        <v>30</v>
      </c>
      <c r="AD357" s="1066">
        <f>AC357*('Ввод исходных данных'!$D$83-AA357)</f>
        <v>1386</v>
      </c>
      <c r="AE357" s="1067">
        <v>-38.1</v>
      </c>
      <c r="AF357" s="1067"/>
      <c r="AG357" s="1067">
        <v>31</v>
      </c>
      <c r="AH357" s="1067">
        <f>AG357*('Ввод исходных данных'!$D$83-AE357)</f>
        <v>1739.1000000000001</v>
      </c>
      <c r="AI357" s="1068">
        <v>-39.6</v>
      </c>
      <c r="AJ357" s="1068"/>
      <c r="AK357" s="1068">
        <v>31</v>
      </c>
      <c r="AL357" s="1068">
        <f>AK357*('Ввод исходных данных'!$D$83-AI357)</f>
        <v>1785.6000000000001</v>
      </c>
      <c r="AM357" s="1069">
        <v>-35</v>
      </c>
      <c r="AN357" s="1069"/>
      <c r="AO357" s="1069">
        <v>28</v>
      </c>
      <c r="AP357" s="1069">
        <f>AO357*('Ввод исходных данных'!$D$83-AM357)</f>
        <v>1484</v>
      </c>
      <c r="AQ357" s="1064">
        <v>-20.8</v>
      </c>
      <c r="AR357" s="1064"/>
      <c r="AS357" s="1064">
        <f t="shared" si="65"/>
        <v>31</v>
      </c>
      <c r="AT357" s="1064">
        <f>AS357*('Ввод исходных данных'!$D$83-AQ357)</f>
        <v>1202.8</v>
      </c>
      <c r="AU357" s="1070">
        <v>-5.2</v>
      </c>
      <c r="AV357" s="1070"/>
      <c r="AW357" s="1070">
        <f t="shared" si="66"/>
        <v>30</v>
      </c>
      <c r="AX357" s="1070">
        <f>AW357*('Ввод исходных данных'!$D$83-AU357)</f>
        <v>696</v>
      </c>
      <c r="AY357" s="1071">
        <v>7.3</v>
      </c>
      <c r="AZ357" s="1071"/>
      <c r="BA357" s="1071">
        <f t="shared" si="67"/>
        <v>20</v>
      </c>
      <c r="BB357" s="1071">
        <f>BA357*('Ввод исходных данных'!$D$83-AY357)</f>
        <v>214</v>
      </c>
      <c r="BC357" s="1072">
        <v>16.100000000000001</v>
      </c>
      <c r="BD357" s="1072"/>
      <c r="BE357" s="1072">
        <f t="shared" si="59"/>
        <v>0</v>
      </c>
      <c r="BF357" s="1073">
        <f>BE357*('Ввод исходных данных'!$D$83-BC357)</f>
        <v>0</v>
      </c>
    </row>
    <row r="358" spans="2:58" ht="15.75" customHeight="1" x14ac:dyDescent="0.25">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2923.7000000000003</v>
      </c>
      <c r="J358" s="1059" t="str">
        <f t="shared" si="58"/>
        <v>2000-3000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76.5</v>
      </c>
      <c r="AA358" s="1066">
        <v>3.7</v>
      </c>
      <c r="AB358" s="1066"/>
      <c r="AC358" s="1066">
        <f t="shared" si="64"/>
        <v>30</v>
      </c>
      <c r="AD358" s="1066">
        <f>AC358*('Ввод исходных данных'!$D$83-AA358)</f>
        <v>429</v>
      </c>
      <c r="AE358" s="1067">
        <v>-0.9</v>
      </c>
      <c r="AF358" s="1067"/>
      <c r="AG358" s="1067">
        <v>31</v>
      </c>
      <c r="AH358" s="1067">
        <f>AG358*('Ввод исходных данных'!$D$83-AE358)</f>
        <v>585.9</v>
      </c>
      <c r="AI358" s="1068">
        <v>-2.9</v>
      </c>
      <c r="AJ358" s="1068"/>
      <c r="AK358" s="1068">
        <v>31</v>
      </c>
      <c r="AL358" s="1068">
        <f>AK358*('Ввод исходных данных'!$D$83-AI358)</f>
        <v>647.9</v>
      </c>
      <c r="AM358" s="1069">
        <v>-2</v>
      </c>
      <c r="AN358" s="1069"/>
      <c r="AO358" s="1069">
        <v>28</v>
      </c>
      <c r="AP358" s="1069">
        <f>AO358*('Ввод исходных данных'!$D$83-AM358)</f>
        <v>560</v>
      </c>
      <c r="AQ358" s="1064">
        <v>2.7</v>
      </c>
      <c r="AR358" s="1064"/>
      <c r="AS358" s="1064">
        <f t="shared" si="65"/>
        <v>31</v>
      </c>
      <c r="AT358" s="1064">
        <f>AS358*('Ввод исходных данных'!$D$83-AQ358)</f>
        <v>474.3</v>
      </c>
      <c r="AU358" s="1070">
        <v>9.4</v>
      </c>
      <c r="AV358" s="1070"/>
      <c r="AW358" s="1070">
        <f t="shared" si="66"/>
        <v>9</v>
      </c>
      <c r="AX358" s="1070">
        <f>AW358*('Ввод исходных данных'!$D$83-AU358)</f>
        <v>77.399999999999991</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25">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5259.8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35.1</v>
      </c>
      <c r="W359" s="1065">
        <v>2.1</v>
      </c>
      <c r="X359" s="1065"/>
      <c r="Y359" s="1065">
        <f t="shared" si="63"/>
        <v>31</v>
      </c>
      <c r="Z359" s="1065">
        <f>Y359*('Ввод исходных данных'!$D$83-W359)</f>
        <v>492.90000000000003</v>
      </c>
      <c r="AA359" s="1066">
        <v>-5.8</v>
      </c>
      <c r="AB359" s="1066"/>
      <c r="AC359" s="1066">
        <f t="shared" si="64"/>
        <v>30</v>
      </c>
      <c r="AD359" s="1066">
        <f>AC359*('Ввод исходных данных'!$D$83-AA359)</f>
        <v>714</v>
      </c>
      <c r="AE359" s="1067">
        <v>-11.6</v>
      </c>
      <c r="AF359" s="1067"/>
      <c r="AG359" s="1067">
        <v>31</v>
      </c>
      <c r="AH359" s="1067">
        <f>AG359*('Ввод исходных данных'!$D$83-AE359)</f>
        <v>917.6</v>
      </c>
      <c r="AI359" s="1068">
        <v>-14.3</v>
      </c>
      <c r="AJ359" s="1068"/>
      <c r="AK359" s="1068">
        <v>31</v>
      </c>
      <c r="AL359" s="1068">
        <f>AK359*('Ввод исходных данных'!$D$83-AI359)</f>
        <v>1001.3</v>
      </c>
      <c r="AM359" s="1069">
        <v>-13.7</v>
      </c>
      <c r="AN359" s="1069"/>
      <c r="AO359" s="1069">
        <v>28</v>
      </c>
      <c r="AP359" s="1069">
        <f>AO359*('Ввод исходных данных'!$D$83-AM359)</f>
        <v>887.6</v>
      </c>
      <c r="AQ359" s="1064">
        <v>-8</v>
      </c>
      <c r="AR359" s="1064"/>
      <c r="AS359" s="1064">
        <f t="shared" si="65"/>
        <v>31</v>
      </c>
      <c r="AT359" s="1064">
        <f>AS359*('Ввод исходных данных'!$D$83-AQ359)</f>
        <v>806</v>
      </c>
      <c r="AU359" s="1070">
        <v>2.4</v>
      </c>
      <c r="AV359" s="1070"/>
      <c r="AW359" s="1070">
        <f t="shared" si="66"/>
        <v>30</v>
      </c>
      <c r="AX359" s="1070">
        <f>AW359*('Ввод исходных данных'!$D$83-AU359)</f>
        <v>468</v>
      </c>
      <c r="AY359" s="1071">
        <v>11.4</v>
      </c>
      <c r="AZ359" s="1071"/>
      <c r="BA359" s="1071">
        <f t="shared" si="67"/>
        <v>4.5</v>
      </c>
      <c r="BB359" s="1071">
        <f>BA359*('Ввод исходных данных'!$D$83-AY359)</f>
        <v>29.7</v>
      </c>
      <c r="BC359" s="1072">
        <v>16.3</v>
      </c>
      <c r="BD359" s="1072"/>
      <c r="BE359" s="1072">
        <f t="shared" si="59"/>
        <v>0</v>
      </c>
      <c r="BF359" s="1073">
        <f>BE359*('Ввод исходных данных'!$D$83-BC359)</f>
        <v>0</v>
      </c>
    </row>
    <row r="360" spans="2:58" ht="15.75" customHeight="1" x14ac:dyDescent="0.25">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4848.8</v>
      </c>
      <c r="J360" s="1059" t="str">
        <f t="shared" si="58"/>
        <v>4000-5000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408.9</v>
      </c>
      <c r="AA360" s="1066">
        <v>-3.6</v>
      </c>
      <c r="AB360" s="1066"/>
      <c r="AC360" s="1066">
        <f t="shared" si="64"/>
        <v>30</v>
      </c>
      <c r="AD360" s="1066">
        <f>AC360*('Ввод исходных данных'!$D$83-AA360)</f>
        <v>648</v>
      </c>
      <c r="AE360" s="1067">
        <v>-10</v>
      </c>
      <c r="AF360" s="1067"/>
      <c r="AG360" s="1067">
        <v>31</v>
      </c>
      <c r="AH360" s="1067">
        <f>AG360*('Ввод исходных данных'!$D$83-AE360)</f>
        <v>868</v>
      </c>
      <c r="AI360" s="1068">
        <v>-12.4</v>
      </c>
      <c r="AJ360" s="1068"/>
      <c r="AK360" s="1068">
        <v>31</v>
      </c>
      <c r="AL360" s="1068">
        <f>AK360*('Ввод исходных данных'!$D$83-AI360)</f>
        <v>942.4</v>
      </c>
      <c r="AM360" s="1069">
        <v>-11.7</v>
      </c>
      <c r="AN360" s="1069"/>
      <c r="AO360" s="1069">
        <v>28</v>
      </c>
      <c r="AP360" s="1069">
        <f>AO360*('Ввод исходных данных'!$D$83-AM360)</f>
        <v>831.6</v>
      </c>
      <c r="AQ360" s="1064">
        <v>-4.2</v>
      </c>
      <c r="AR360" s="1064"/>
      <c r="AS360" s="1064">
        <f t="shared" si="65"/>
        <v>31</v>
      </c>
      <c r="AT360" s="1064">
        <f>AS360*('Ввод исходных данных'!$D$83-AQ360)</f>
        <v>688.19999999999993</v>
      </c>
      <c r="AU360" s="1070">
        <v>5.2</v>
      </c>
      <c r="AV360" s="1070"/>
      <c r="AW360" s="1070">
        <f t="shared" si="66"/>
        <v>29</v>
      </c>
      <c r="AX360" s="1070">
        <f>AW360*('Ввод исходных данных'!$D$83-AU360)</f>
        <v>371.20000000000005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25">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4742.4000000000005</v>
      </c>
      <c r="J361" s="1059" t="str">
        <f t="shared" si="58"/>
        <v>4000-5000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393.3</v>
      </c>
      <c r="AA361" s="1066">
        <v>-3.2</v>
      </c>
      <c r="AB361" s="1066"/>
      <c r="AC361" s="1066">
        <f t="shared" si="64"/>
        <v>30</v>
      </c>
      <c r="AD361" s="1066">
        <f>AC361*('Ввод исходных данных'!$D$83-AA361)</f>
        <v>636</v>
      </c>
      <c r="AE361" s="1067">
        <v>-8.9</v>
      </c>
      <c r="AF361" s="1067"/>
      <c r="AG361" s="1067">
        <v>31</v>
      </c>
      <c r="AH361" s="1067">
        <f>AG361*('Ввод исходных данных'!$D$83-AE361)</f>
        <v>833.9</v>
      </c>
      <c r="AI361" s="1068">
        <v>-11.6</v>
      </c>
      <c r="AJ361" s="1068"/>
      <c r="AK361" s="1068">
        <v>31</v>
      </c>
      <c r="AL361" s="1068">
        <f>AK361*('Ввод исходных данных'!$D$83-AI361)</f>
        <v>917.6</v>
      </c>
      <c r="AM361" s="1069">
        <v>-10.9</v>
      </c>
      <c r="AN361" s="1069"/>
      <c r="AO361" s="1069">
        <v>28</v>
      </c>
      <c r="AP361" s="1069">
        <f>AO361*('Ввод исходных данных'!$D$83-AM361)</f>
        <v>809.19999999999993</v>
      </c>
      <c r="AQ361" s="1064">
        <v>-4.3</v>
      </c>
      <c r="AR361" s="1064"/>
      <c r="AS361" s="1064">
        <f t="shared" si="65"/>
        <v>31</v>
      </c>
      <c r="AT361" s="1064">
        <f>AS361*('Ввод исходных данных'!$D$83-AQ361)</f>
        <v>691.30000000000007</v>
      </c>
      <c r="AU361" s="1070">
        <v>5.3</v>
      </c>
      <c r="AV361" s="1070"/>
      <c r="AW361" s="1070">
        <f t="shared" si="66"/>
        <v>28.5</v>
      </c>
      <c r="AX361" s="1070">
        <f>AW361*('Ввод исходных данных'!$D$83-AU361)</f>
        <v>361.95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25">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7425</v>
      </c>
      <c r="J362" s="1059" t="str">
        <f t="shared" si="58"/>
        <v>7000-8000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51.35</v>
      </c>
      <c r="W362" s="1065">
        <v>0.7</v>
      </c>
      <c r="X362" s="1065"/>
      <c r="Y362" s="1065">
        <f t="shared" si="63"/>
        <v>31</v>
      </c>
      <c r="Z362" s="1065">
        <f>Y362*('Ввод исходных данных'!$D$83-W362)</f>
        <v>536.30000000000007</v>
      </c>
      <c r="AA362" s="1066">
        <v>-13.6</v>
      </c>
      <c r="AB362" s="1066"/>
      <c r="AC362" s="1066">
        <f t="shared" si="64"/>
        <v>30</v>
      </c>
      <c r="AD362" s="1066">
        <f>AC362*('Ввод исходных данных'!$D$83-AA362)</f>
        <v>948</v>
      </c>
      <c r="AE362" s="1067">
        <v>-26</v>
      </c>
      <c r="AF362" s="1067"/>
      <c r="AG362" s="1067">
        <v>31</v>
      </c>
      <c r="AH362" s="1067">
        <f>AG362*('Ввод исходных данных'!$D$83-AE362)</f>
        <v>1364</v>
      </c>
      <c r="AI362" s="1068">
        <v>-29.3</v>
      </c>
      <c r="AJ362" s="1068"/>
      <c r="AK362" s="1068">
        <v>31</v>
      </c>
      <c r="AL362" s="1068">
        <f>AK362*('Ввод исходных данных'!$D$83-AI362)</f>
        <v>1466.3</v>
      </c>
      <c r="AM362" s="1069">
        <v>-24.3</v>
      </c>
      <c r="AN362" s="1069"/>
      <c r="AO362" s="1069">
        <v>28</v>
      </c>
      <c r="AP362" s="1069">
        <f>AO362*('Ввод исходных данных'!$D$83-AM362)</f>
        <v>1184.3999999999999</v>
      </c>
      <c r="AQ362" s="1064">
        <v>-11</v>
      </c>
      <c r="AR362" s="1064"/>
      <c r="AS362" s="1064">
        <f t="shared" si="65"/>
        <v>31</v>
      </c>
      <c r="AT362" s="1064">
        <f>AS362*('Ввод исходных данных'!$D$83-AQ362)</f>
        <v>899</v>
      </c>
      <c r="AU362" s="1070">
        <v>4.4000000000000004</v>
      </c>
      <c r="AV362" s="1070"/>
      <c r="AW362" s="1070">
        <f t="shared" si="66"/>
        <v>30</v>
      </c>
      <c r="AX362" s="1070">
        <f>AW362*('Ввод исходных данных'!$D$83-AU362)</f>
        <v>408</v>
      </c>
      <c r="AY362" s="1071">
        <v>12.3</v>
      </c>
      <c r="AZ362" s="1071"/>
      <c r="BA362" s="1071">
        <f t="shared" si="67"/>
        <v>6.5</v>
      </c>
      <c r="BB362" s="1071">
        <f>BA362*('Ввод исходных данных'!$D$83-AY362)</f>
        <v>37.049999999999997</v>
      </c>
      <c r="BC362" s="1072">
        <v>18.2</v>
      </c>
      <c r="BD362" s="1072"/>
      <c r="BE362" s="1072">
        <f t="shared" si="59"/>
        <v>0</v>
      </c>
      <c r="BF362" s="1073">
        <f>BE362*('Ввод исходных данных'!$D$83-BC362)</f>
        <v>0</v>
      </c>
    </row>
    <row r="363" spans="2:58" ht="15.75" customHeight="1" x14ac:dyDescent="0.25">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5775.7</v>
      </c>
      <c r="J363" s="1059" t="str">
        <f t="shared" si="58"/>
        <v>5000-6000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44.55</v>
      </c>
      <c r="W363" s="1065">
        <v>1.6</v>
      </c>
      <c r="X363" s="1065"/>
      <c r="Y363" s="1065">
        <f t="shared" si="63"/>
        <v>31</v>
      </c>
      <c r="Z363" s="1065">
        <f>Y363*('Ввод исходных данных'!$D$83-W363)</f>
        <v>508.4</v>
      </c>
      <c r="AA363" s="1066">
        <v>-9.5</v>
      </c>
      <c r="AB363" s="1066"/>
      <c r="AC363" s="1066">
        <f t="shared" si="64"/>
        <v>30</v>
      </c>
      <c r="AD363" s="1066">
        <f>AC363*('Ввод исходных данных'!$D$83-AA363)</f>
        <v>825</v>
      </c>
      <c r="AE363" s="1067">
        <v>-17.899999999999999</v>
      </c>
      <c r="AF363" s="1067"/>
      <c r="AG363" s="1067">
        <v>31</v>
      </c>
      <c r="AH363" s="1067">
        <f>AG363*('Ввод исходных данных'!$D$83-AE363)</f>
        <v>1112.8999999999999</v>
      </c>
      <c r="AI363" s="1068">
        <v>-25.5</v>
      </c>
      <c r="AJ363" s="1068"/>
      <c r="AK363" s="1068">
        <v>31</v>
      </c>
      <c r="AL363" s="1068">
        <f>AK363*('Ввод исходных данных'!$D$83-AI363)</f>
        <v>1348.5</v>
      </c>
      <c r="AM363" s="1069">
        <v>-18.5</v>
      </c>
      <c r="AN363" s="1069"/>
      <c r="AO363" s="1069">
        <v>28</v>
      </c>
      <c r="AP363" s="1069">
        <f>AO363*('Ввод исходных данных'!$D$83-AM363)</f>
        <v>1022</v>
      </c>
      <c r="AQ363" s="1064">
        <v>-8.5</v>
      </c>
      <c r="AR363" s="1064"/>
      <c r="AS363" s="1064">
        <f t="shared" si="65"/>
        <v>31</v>
      </c>
      <c r="AT363" s="1064">
        <f>AS363*('Ввод исходных данных'!$D$83-AQ363)</f>
        <v>821.5</v>
      </c>
      <c r="AU363" s="1070">
        <v>2.9</v>
      </c>
      <c r="AV363" s="1070"/>
      <c r="AW363" s="1070">
        <f t="shared" si="66"/>
        <v>30</v>
      </c>
      <c r="AX363" s="1070">
        <f>AW363*('Ввод исходных данных'!$D$83-AU363)</f>
        <v>453</v>
      </c>
      <c r="AY363" s="1071">
        <v>10.5</v>
      </c>
      <c r="AZ363" s="1071"/>
      <c r="BA363" s="1071">
        <f t="shared" si="67"/>
        <v>5.5</v>
      </c>
      <c r="BB363" s="1071">
        <f>BA363*('Ввод исходных данных'!$D$83-AY363)</f>
        <v>41.25</v>
      </c>
      <c r="BC363" s="1072">
        <v>17.3</v>
      </c>
      <c r="BD363" s="1072"/>
      <c r="BE363" s="1072">
        <f t="shared" si="59"/>
        <v>0</v>
      </c>
      <c r="BF363" s="1073">
        <f>BE363*('Ввод исходных данных'!$D$83-BC363)</f>
        <v>0</v>
      </c>
    </row>
    <row r="364" spans="2:58" ht="15.75" customHeight="1" x14ac:dyDescent="0.25">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6065.2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110.39999999999999</v>
      </c>
      <c r="W364" s="1065">
        <v>1.2</v>
      </c>
      <c r="X364" s="1065"/>
      <c r="Y364" s="1065">
        <f t="shared" si="63"/>
        <v>31</v>
      </c>
      <c r="Z364" s="1065">
        <f>Y364*('Ввод исходных данных'!$D$83-W364)</f>
        <v>520.80000000000007</v>
      </c>
      <c r="AA364" s="1066">
        <v>-9.1</v>
      </c>
      <c r="AB364" s="1066"/>
      <c r="AC364" s="1066">
        <f t="shared" si="64"/>
        <v>30</v>
      </c>
      <c r="AD364" s="1066">
        <f>AC364*('Ввод исходных данных'!$D$83-AA364)</f>
        <v>813</v>
      </c>
      <c r="AE364" s="1067">
        <v>-16.399999999999999</v>
      </c>
      <c r="AF364" s="1067"/>
      <c r="AG364" s="1067">
        <v>31</v>
      </c>
      <c r="AH364" s="1067">
        <f>AG364*('Ввод исходных данных'!$D$83-AE364)</f>
        <v>1066.3999999999999</v>
      </c>
      <c r="AI364" s="1068">
        <v>-18.5</v>
      </c>
      <c r="AJ364" s="1068"/>
      <c r="AK364" s="1068">
        <v>31</v>
      </c>
      <c r="AL364" s="1068">
        <f>AK364*('Ввод исходных данных'!$D$83-AI364)</f>
        <v>1131.5</v>
      </c>
      <c r="AM364" s="1069">
        <v>-17.2</v>
      </c>
      <c r="AN364" s="1069"/>
      <c r="AO364" s="1069">
        <v>28</v>
      </c>
      <c r="AP364" s="1069">
        <f>AO364*('Ввод исходных данных'!$D$83-AM364)</f>
        <v>985.60000000000014</v>
      </c>
      <c r="AQ364" s="1064">
        <v>-8.9</v>
      </c>
      <c r="AR364" s="1064"/>
      <c r="AS364" s="1064">
        <f t="shared" si="65"/>
        <v>31</v>
      </c>
      <c r="AT364" s="1064">
        <f>AS364*('Ввод исходных данных'!$D$83-AQ364)</f>
        <v>833.9</v>
      </c>
      <c r="AU364" s="1070">
        <v>1.3</v>
      </c>
      <c r="AV364" s="1070"/>
      <c r="AW364" s="1070">
        <f t="shared" si="66"/>
        <v>30</v>
      </c>
      <c r="AX364" s="1070">
        <f>AW364*('Ввод исходных данных'!$D$83-AU364)</f>
        <v>501</v>
      </c>
      <c r="AY364" s="1071">
        <v>8.9</v>
      </c>
      <c r="AZ364" s="1071"/>
      <c r="BA364" s="1071">
        <f t="shared" si="67"/>
        <v>12</v>
      </c>
      <c r="BB364" s="1071">
        <f>BA364*('Ввод исходных данных'!$D$83-AY364)</f>
        <v>109.19999999999999</v>
      </c>
      <c r="BC364" s="1072">
        <v>15.6</v>
      </c>
      <c r="BD364" s="1072"/>
      <c r="BE364" s="1072">
        <f t="shared" si="59"/>
        <v>0</v>
      </c>
      <c r="BF364" s="1073">
        <f>BE364*('Ввод исходных данных'!$D$83-BC364)</f>
        <v>0</v>
      </c>
    </row>
    <row r="365" spans="2:58" ht="15.75" customHeight="1" x14ac:dyDescent="0.25">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3526.2999999999997</v>
      </c>
      <c r="J365" s="1059" t="str">
        <f t="shared" si="58"/>
        <v>3000-4000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142.79999999999998</v>
      </c>
      <c r="AA365" s="1066">
        <v>1.3</v>
      </c>
      <c r="AB365" s="1066"/>
      <c r="AC365" s="1066">
        <f t="shared" si="64"/>
        <v>30</v>
      </c>
      <c r="AD365" s="1066">
        <f>AC365*('Ввод исходных данных'!$D$83-AA365)</f>
        <v>501</v>
      </c>
      <c r="AE365" s="1067">
        <v>-3.8</v>
      </c>
      <c r="AF365" s="1067"/>
      <c r="AG365" s="1067">
        <v>31</v>
      </c>
      <c r="AH365" s="1067">
        <f>AG365*('Ввод исходных данных'!$D$83-AE365)</f>
        <v>675.80000000000007</v>
      </c>
      <c r="AI365" s="1068">
        <v>-6.3</v>
      </c>
      <c r="AJ365" s="1068"/>
      <c r="AK365" s="1068">
        <v>31</v>
      </c>
      <c r="AL365" s="1068">
        <f>AK365*('Ввод исходных данных'!$D$83-AI365)</f>
        <v>753.30000000000007</v>
      </c>
      <c r="AM365" s="1069">
        <v>-5.7</v>
      </c>
      <c r="AN365" s="1069"/>
      <c r="AO365" s="1069">
        <v>28</v>
      </c>
      <c r="AP365" s="1069">
        <f>AO365*('Ввод исходных данных'!$D$83-AM365)</f>
        <v>663.6</v>
      </c>
      <c r="AQ365" s="1064">
        <v>0</v>
      </c>
      <c r="AR365" s="1064"/>
      <c r="AS365" s="1064">
        <f t="shared" si="65"/>
        <v>31</v>
      </c>
      <c r="AT365" s="1064">
        <f>AS365*('Ввод исходных данных'!$D$83-AQ365)</f>
        <v>558</v>
      </c>
      <c r="AU365" s="1070">
        <v>9.3000000000000007</v>
      </c>
      <c r="AV365" s="1070"/>
      <c r="AW365" s="1070">
        <f t="shared" si="66"/>
        <v>14</v>
      </c>
      <c r="AX365" s="1070">
        <f>AW365*('Ввод исходных данных'!$D$83-AU365)</f>
        <v>121.79999999999998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25">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3004.6000000000004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63</v>
      </c>
      <c r="AA366" s="1066">
        <v>3.3</v>
      </c>
      <c r="AB366" s="1066"/>
      <c r="AC366" s="1066">
        <f t="shared" si="64"/>
        <v>30</v>
      </c>
      <c r="AD366" s="1066">
        <f>AC366*('Ввод исходных данных'!$D$83-AA366)</f>
        <v>441</v>
      </c>
      <c r="AE366" s="1067">
        <v>-1.5</v>
      </c>
      <c r="AF366" s="1067"/>
      <c r="AG366" s="1067">
        <v>31</v>
      </c>
      <c r="AH366" s="1067">
        <f>AG366*('Ввод исходных данных'!$D$83-AE366)</f>
        <v>604.5</v>
      </c>
      <c r="AI366" s="1068">
        <v>-3.8</v>
      </c>
      <c r="AJ366" s="1068"/>
      <c r="AK366" s="1068">
        <v>31</v>
      </c>
      <c r="AL366" s="1068">
        <f>AK366*('Ввод исходных данных'!$D$83-AI366)</f>
        <v>675.80000000000007</v>
      </c>
      <c r="AM366" s="1069">
        <v>-2.9</v>
      </c>
      <c r="AN366" s="1069"/>
      <c r="AO366" s="1069">
        <v>28</v>
      </c>
      <c r="AP366" s="1069">
        <f>AO366*('Ввод исходных данных'!$D$83-AM366)</f>
        <v>585.19999999999993</v>
      </c>
      <c r="AQ366" s="1064">
        <v>2.2000000000000002</v>
      </c>
      <c r="AR366" s="1064"/>
      <c r="AS366" s="1064">
        <f t="shared" si="65"/>
        <v>31</v>
      </c>
      <c r="AT366" s="1064">
        <f>AS366*('Ввод исходных данных'!$D$83-AQ366)</f>
        <v>489.8</v>
      </c>
      <c r="AU366" s="1070">
        <v>10.8</v>
      </c>
      <c r="AV366" s="1070"/>
      <c r="AW366" s="1070">
        <f t="shared" si="66"/>
        <v>7.5</v>
      </c>
      <c r="AX366" s="1070">
        <f>AW366*('Ввод исходных данных'!$D$83-AU366)</f>
        <v>53.999999999999993</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25">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2970</v>
      </c>
      <c r="J367" s="1059" t="str">
        <f t="shared" si="58"/>
        <v>2000-3000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54.600000000000009</v>
      </c>
      <c r="AA367" s="1066">
        <v>3.5</v>
      </c>
      <c r="AB367" s="1066"/>
      <c r="AC367" s="1066">
        <f t="shared" si="64"/>
        <v>30</v>
      </c>
      <c r="AD367" s="1066">
        <f>AC367*('Ввод исходных данных'!$D$83-AA367)</f>
        <v>435</v>
      </c>
      <c r="AE367" s="1067">
        <v>-1.2</v>
      </c>
      <c r="AF367" s="1067"/>
      <c r="AG367" s="1067">
        <v>31</v>
      </c>
      <c r="AH367" s="1067">
        <f>AG367*('Ввод исходных данных'!$D$83-AE367)</f>
        <v>595.19999999999993</v>
      </c>
      <c r="AI367" s="1068">
        <v>-3.5</v>
      </c>
      <c r="AJ367" s="1068"/>
      <c r="AK367" s="1068">
        <v>31</v>
      </c>
      <c r="AL367" s="1068">
        <f>AK367*('Ввод исходных данных'!$D$83-AI367)</f>
        <v>666.5</v>
      </c>
      <c r="AM367" s="1069">
        <v>-3</v>
      </c>
      <c r="AN367" s="1069"/>
      <c r="AO367" s="1069">
        <v>28</v>
      </c>
      <c r="AP367" s="1069">
        <f>AO367*('Ввод исходных данных'!$D$83-AM367)</f>
        <v>588</v>
      </c>
      <c r="AQ367" s="1064">
        <v>2.1</v>
      </c>
      <c r="AR367" s="1064"/>
      <c r="AS367" s="1064">
        <f t="shared" si="65"/>
        <v>31</v>
      </c>
      <c r="AT367" s="1064">
        <f>AS367*('Ввод исходных данных'!$D$83-AQ367)</f>
        <v>492.90000000000003</v>
      </c>
      <c r="AU367" s="1070">
        <v>10.7</v>
      </c>
      <c r="AV367" s="1070"/>
      <c r="AW367" s="1070">
        <f t="shared" si="66"/>
        <v>7</v>
      </c>
      <c r="AX367" s="1070">
        <f>AW367*('Ввод исходных данных'!$D$83-AU367)</f>
        <v>51.100000000000009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25">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4472</v>
      </c>
      <c r="J368" s="1059" t="str">
        <f t="shared" si="58"/>
        <v>4000-5000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387.59999999999997</v>
      </c>
      <c r="AA368" s="1066">
        <v>-2.2000000000000002</v>
      </c>
      <c r="AB368" s="1066"/>
      <c r="AC368" s="1066">
        <f t="shared" si="64"/>
        <v>30</v>
      </c>
      <c r="AD368" s="1066">
        <f>AC368*('Ввод исходных данных'!$D$83-AA368)</f>
        <v>606</v>
      </c>
      <c r="AE368" s="1067">
        <v>-7</v>
      </c>
      <c r="AF368" s="1067"/>
      <c r="AG368" s="1067">
        <v>31</v>
      </c>
      <c r="AH368" s="1067">
        <f>AG368*('Ввод исходных данных'!$D$83-AE368)</f>
        <v>775</v>
      </c>
      <c r="AI368" s="1068">
        <v>-11</v>
      </c>
      <c r="AJ368" s="1068"/>
      <c r="AK368" s="1068">
        <v>31</v>
      </c>
      <c r="AL368" s="1068">
        <f>AK368*('Ввод исходных данных'!$D$83-AI368)</f>
        <v>899</v>
      </c>
      <c r="AM368" s="1069">
        <v>-10</v>
      </c>
      <c r="AN368" s="1069"/>
      <c r="AO368" s="1069">
        <v>28</v>
      </c>
      <c r="AP368" s="1069">
        <f>AO368*('Ввод исходных данных'!$D$83-AM368)</f>
        <v>784</v>
      </c>
      <c r="AQ368" s="1064">
        <v>-4.7</v>
      </c>
      <c r="AR368" s="1064"/>
      <c r="AS368" s="1064">
        <f t="shared" si="65"/>
        <v>31</v>
      </c>
      <c r="AT368" s="1064">
        <f>AS368*('Ввод исходных данных'!$D$83-AQ368)</f>
        <v>703.69999999999993</v>
      </c>
      <c r="AU368" s="1070">
        <v>5.2</v>
      </c>
      <c r="AV368" s="1070"/>
      <c r="AW368" s="1070">
        <f t="shared" si="66"/>
        <v>28.5</v>
      </c>
      <c r="AX368" s="1070">
        <f>AW368*('Ввод исходных данных'!$D$83-AU368)</f>
        <v>364.8</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25">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4709.5999999999995</v>
      </c>
      <c r="J369" s="1059" t="str">
        <f t="shared" si="58"/>
        <v>4000-5000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358.8</v>
      </c>
      <c r="AA369" s="1066">
        <v>-3.4</v>
      </c>
      <c r="AB369" s="1066"/>
      <c r="AC369" s="1066">
        <f t="shared" si="64"/>
        <v>30</v>
      </c>
      <c r="AD369" s="1066">
        <f>AC369*('Ввод исходных данных'!$D$83-AA369)</f>
        <v>642</v>
      </c>
      <c r="AE369" s="1067">
        <v>-9.6</v>
      </c>
      <c r="AF369" s="1067"/>
      <c r="AG369" s="1067">
        <v>31</v>
      </c>
      <c r="AH369" s="1067">
        <f>AG369*('Ввод исходных данных'!$D$83-AE369)</f>
        <v>855.6</v>
      </c>
      <c r="AI369" s="1068">
        <v>-13.5</v>
      </c>
      <c r="AJ369" s="1068"/>
      <c r="AK369" s="1068">
        <v>31</v>
      </c>
      <c r="AL369" s="1068">
        <f>AK369*('Ввод исходных данных'!$D$83-AI369)</f>
        <v>976.5</v>
      </c>
      <c r="AM369" s="1069">
        <v>-12.6</v>
      </c>
      <c r="AN369" s="1069"/>
      <c r="AO369" s="1069">
        <v>28</v>
      </c>
      <c r="AP369" s="1069">
        <f>AO369*('Ввод исходных данных'!$D$83-AM369)</f>
        <v>856.80000000000007</v>
      </c>
      <c r="AQ369" s="1064">
        <v>-5.8</v>
      </c>
      <c r="AR369" s="1064"/>
      <c r="AS369" s="1064">
        <f t="shared" si="65"/>
        <v>31</v>
      </c>
      <c r="AT369" s="1064">
        <f>AS369*('Ввод исходных данных'!$D$83-AQ369)</f>
        <v>737.80000000000007</v>
      </c>
      <c r="AU369" s="1070">
        <v>5.8</v>
      </c>
      <c r="AV369" s="1070"/>
      <c r="AW369" s="1070">
        <f t="shared" si="66"/>
        <v>26</v>
      </c>
      <c r="AX369" s="1070">
        <f>AW369*('Ввод исходных данных'!$D$83-AU369)</f>
        <v>317.2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25">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4110.9000000000005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3.3</v>
      </c>
      <c r="W370" s="1065">
        <v>5.7</v>
      </c>
      <c r="X370" s="1065"/>
      <c r="Y370" s="1065">
        <f t="shared" si="63"/>
        <v>31</v>
      </c>
      <c r="Z370" s="1065">
        <f>Y370*('Ввод исходных данных'!$D$83-W370)</f>
        <v>381.3</v>
      </c>
      <c r="AA370" s="1066">
        <v>0.2</v>
      </c>
      <c r="AB370" s="1066"/>
      <c r="AC370" s="1066">
        <f t="shared" si="64"/>
        <v>30</v>
      </c>
      <c r="AD370" s="1066">
        <f>AC370*('Ввод исходных данных'!$D$83-AA370)</f>
        <v>534</v>
      </c>
      <c r="AE370" s="1067">
        <v>-3.9</v>
      </c>
      <c r="AF370" s="1067"/>
      <c r="AG370" s="1067">
        <v>31</v>
      </c>
      <c r="AH370" s="1067">
        <f>AG370*('Ввод исходных данных'!$D$83-AE370)</f>
        <v>678.9</v>
      </c>
      <c r="AI370" s="1068">
        <v>-6.6</v>
      </c>
      <c r="AJ370" s="1068"/>
      <c r="AK370" s="1068">
        <v>31</v>
      </c>
      <c r="AL370" s="1068">
        <f>AK370*('Ввод исходных данных'!$D$83-AI370)</f>
        <v>762.6</v>
      </c>
      <c r="AM370" s="1069">
        <v>-6.3</v>
      </c>
      <c r="AN370" s="1069"/>
      <c r="AO370" s="1069">
        <v>28</v>
      </c>
      <c r="AP370" s="1069">
        <f>AO370*('Ввод исходных данных'!$D$83-AM370)</f>
        <v>680.4</v>
      </c>
      <c r="AQ370" s="1064">
        <v>-1.5</v>
      </c>
      <c r="AR370" s="1064"/>
      <c r="AS370" s="1064">
        <f t="shared" si="65"/>
        <v>31</v>
      </c>
      <c r="AT370" s="1064">
        <f>AS370*('Ввод исходных данных'!$D$83-AQ370)</f>
        <v>604.5</v>
      </c>
      <c r="AU370" s="1070">
        <v>4.5</v>
      </c>
      <c r="AV370" s="1070"/>
      <c r="AW370" s="1070">
        <f t="shared" si="66"/>
        <v>30</v>
      </c>
      <c r="AX370" s="1070">
        <f>AW370*('Ввод исходных данных'!$D$83-AU370)</f>
        <v>405</v>
      </c>
      <c r="AY370" s="1071">
        <v>10.9</v>
      </c>
      <c r="AZ370" s="1071"/>
      <c r="BA370" s="1071">
        <f t="shared" si="67"/>
        <v>0.5</v>
      </c>
      <c r="BB370" s="1071">
        <f>BA370*('Ввод исходных данных'!$D$83-AY370)</f>
        <v>3.55</v>
      </c>
      <c r="BC370" s="1072">
        <v>15.7</v>
      </c>
      <c r="BD370" s="1072"/>
      <c r="BE370" s="1072">
        <f t="shared" si="59"/>
        <v>0</v>
      </c>
      <c r="BF370" s="1073">
        <f>BE370*('Ввод исходных данных'!$D$83-BC370)</f>
        <v>0</v>
      </c>
    </row>
    <row r="371" spans="1:58" ht="15.75" customHeight="1" x14ac:dyDescent="0.25">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4431.2</v>
      </c>
      <c r="J371" s="1059" t="str">
        <f t="shared" si="58"/>
        <v>4000-5000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238</v>
      </c>
      <c r="AA371" s="1066">
        <v>-1.7</v>
      </c>
      <c r="AB371" s="1066"/>
      <c r="AC371" s="1066">
        <f t="shared" si="64"/>
        <v>30</v>
      </c>
      <c r="AD371" s="1066">
        <f>AC371*('Ввод исходных данных'!$D$83-AA371)</f>
        <v>591</v>
      </c>
      <c r="AE371" s="1067">
        <v>-8.3000000000000007</v>
      </c>
      <c r="AF371" s="1067"/>
      <c r="AG371" s="1067">
        <v>31</v>
      </c>
      <c r="AH371" s="1067">
        <f>AG371*('Ввод исходных данных'!$D$83-AE371)</f>
        <v>815.30000000000007</v>
      </c>
      <c r="AI371" s="1068">
        <v>-12.7</v>
      </c>
      <c r="AJ371" s="1068"/>
      <c r="AK371" s="1068">
        <v>31</v>
      </c>
      <c r="AL371" s="1068">
        <f>AK371*('Ввод исходных данных'!$D$83-AI371)</f>
        <v>951.69999999999993</v>
      </c>
      <c r="AM371" s="1069">
        <v>-12.1</v>
      </c>
      <c r="AN371" s="1069"/>
      <c r="AO371" s="1069">
        <v>28</v>
      </c>
      <c r="AP371" s="1069">
        <f>AO371*('Ввод исходных данных'!$D$83-AM371)</f>
        <v>842.80000000000007</v>
      </c>
      <c r="AQ371" s="1064">
        <v>-4.9000000000000004</v>
      </c>
      <c r="AR371" s="1064"/>
      <c r="AS371" s="1064">
        <f t="shared" si="65"/>
        <v>31</v>
      </c>
      <c r="AT371" s="1064">
        <f>AS371*('Ввод исходных данных'!$D$83-AQ371)</f>
        <v>709.9</v>
      </c>
      <c r="AU371" s="1070">
        <v>7.9</v>
      </c>
      <c r="AV371" s="1070"/>
      <c r="AW371" s="1070">
        <f t="shared" si="66"/>
        <v>20</v>
      </c>
      <c r="AX371" s="1070">
        <f>AW371*('Ввод исходных данных'!$D$83-AU371)</f>
        <v>202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25">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4417.8</v>
      </c>
      <c r="J372" s="1059" t="str">
        <f t="shared" si="58"/>
        <v>4000-5000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307.20000000000005</v>
      </c>
      <c r="AA372" s="1066">
        <v>-1.5</v>
      </c>
      <c r="AB372" s="1066"/>
      <c r="AC372" s="1066">
        <f t="shared" si="64"/>
        <v>30</v>
      </c>
      <c r="AD372" s="1066">
        <f>AC372*('Ввод исходных данных'!$D$83-AA372)</f>
        <v>585</v>
      </c>
      <c r="AE372" s="1067">
        <v>-7.6</v>
      </c>
      <c r="AF372" s="1067"/>
      <c r="AG372" s="1067">
        <v>31</v>
      </c>
      <c r="AH372" s="1067">
        <f>AG372*('Ввод исходных данных'!$D$83-AE372)</f>
        <v>793.6</v>
      </c>
      <c r="AI372" s="1068">
        <v>-10.6</v>
      </c>
      <c r="AJ372" s="1068"/>
      <c r="AK372" s="1068">
        <v>31</v>
      </c>
      <c r="AL372" s="1068">
        <f>AK372*('Ввод исходных данных'!$D$83-AI372)</f>
        <v>886.6</v>
      </c>
      <c r="AM372" s="1069">
        <v>-10.4</v>
      </c>
      <c r="AN372" s="1069"/>
      <c r="AO372" s="1069">
        <v>28</v>
      </c>
      <c r="AP372" s="1069">
        <f>AO372*('Ввод исходных данных'!$D$83-AM372)</f>
        <v>795.19999999999993</v>
      </c>
      <c r="AQ372" s="1064">
        <v>-4.5999999999999996</v>
      </c>
      <c r="AR372" s="1064"/>
      <c r="AS372" s="1064">
        <f t="shared" si="65"/>
        <v>31</v>
      </c>
      <c r="AT372" s="1064">
        <f>AS372*('Ввод исходных данных'!$D$83-AQ372)</f>
        <v>700.6</v>
      </c>
      <c r="AU372" s="1070">
        <v>6.3</v>
      </c>
      <c r="AV372" s="1070"/>
      <c r="AW372" s="1070">
        <f t="shared" si="66"/>
        <v>24</v>
      </c>
      <c r="AX372" s="1070">
        <f>AW372*('Ввод исходных данных'!$D$83-AU372)</f>
        <v>280.79999999999995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25">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4042</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209.05</v>
      </c>
      <c r="AA373" s="1066">
        <v>-0.6</v>
      </c>
      <c r="AB373" s="1066"/>
      <c r="AC373" s="1066">
        <f t="shared" si="64"/>
        <v>30</v>
      </c>
      <c r="AD373" s="1066">
        <f>AC373*('Ввод исходных данных'!$D$83-AA373)</f>
        <v>558</v>
      </c>
      <c r="AE373" s="1067">
        <v>-6.4</v>
      </c>
      <c r="AF373" s="1067"/>
      <c r="AG373" s="1067">
        <v>31</v>
      </c>
      <c r="AH373" s="1067">
        <f>AG373*('Ввод исходных данных'!$D$83-AE373)</f>
        <v>756.4</v>
      </c>
      <c r="AI373" s="1068">
        <v>-8.6999999999999993</v>
      </c>
      <c r="AJ373" s="1068"/>
      <c r="AK373" s="1068">
        <v>31</v>
      </c>
      <c r="AL373" s="1068">
        <f>AK373*('Ввод исходных данных'!$D$83-AI373)</f>
        <v>827.69999999999993</v>
      </c>
      <c r="AM373" s="1069">
        <v>-8.4</v>
      </c>
      <c r="AN373" s="1069"/>
      <c r="AO373" s="1069">
        <v>28</v>
      </c>
      <c r="AP373" s="1069">
        <f>AO373*('Ввод исходных данных'!$D$83-AM373)</f>
        <v>739.19999999999993</v>
      </c>
      <c r="AQ373" s="1064">
        <v>-2.5</v>
      </c>
      <c r="AR373" s="1064"/>
      <c r="AS373" s="1064">
        <f t="shared" si="65"/>
        <v>31</v>
      </c>
      <c r="AT373" s="1064">
        <f>AS373*('Ввод исходных данных'!$D$83-AQ373)</f>
        <v>635.5</v>
      </c>
      <c r="AU373" s="1070">
        <v>8.4</v>
      </c>
      <c r="AV373" s="1070"/>
      <c r="AW373" s="1070">
        <f t="shared" si="66"/>
        <v>18.5</v>
      </c>
      <c r="AX373" s="1070">
        <f>AW373*('Ввод исходных данных'!$D$83-AU373)</f>
        <v>177.6</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25">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5782.7999999999993</v>
      </c>
      <c r="J374" s="1059" t="str">
        <f t="shared" si="58"/>
        <v>5000-6000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73.75</v>
      </c>
      <c r="W374" s="1065">
        <v>4.8</v>
      </c>
      <c r="X374" s="1065"/>
      <c r="Y374" s="1065">
        <f t="shared" si="63"/>
        <v>31</v>
      </c>
      <c r="Z374" s="1065">
        <f>Y374*('Ввод исходных данных'!$D$83-W374)</f>
        <v>409.2</v>
      </c>
      <c r="AA374" s="1066">
        <v>-4.5999999999999996</v>
      </c>
      <c r="AB374" s="1066"/>
      <c r="AC374" s="1066">
        <f t="shared" si="64"/>
        <v>30</v>
      </c>
      <c r="AD374" s="1066">
        <f>AC374*('Ввод исходных данных'!$D$83-AA374)</f>
        <v>678</v>
      </c>
      <c r="AE374" s="1067">
        <v>-12.6</v>
      </c>
      <c r="AF374" s="1067"/>
      <c r="AG374" s="1067">
        <v>31</v>
      </c>
      <c r="AH374" s="1067">
        <f>AG374*('Ввод исходных данных'!$D$83-AE374)</f>
        <v>948.6</v>
      </c>
      <c r="AI374" s="1068">
        <v>-16.899999999999999</v>
      </c>
      <c r="AJ374" s="1068"/>
      <c r="AK374" s="1068">
        <v>31</v>
      </c>
      <c r="AL374" s="1068">
        <f>AK374*('Ввод исходных данных'!$D$83-AI374)</f>
        <v>1081.8999999999999</v>
      </c>
      <c r="AM374" s="1069">
        <v>-15</v>
      </c>
      <c r="AN374" s="1069"/>
      <c r="AO374" s="1069">
        <v>28</v>
      </c>
      <c r="AP374" s="1069">
        <f>AO374*('Ввод исходных данных'!$D$83-AM374)</f>
        <v>924</v>
      </c>
      <c r="AQ374" s="1064">
        <v>-8.1</v>
      </c>
      <c r="AR374" s="1064"/>
      <c r="AS374" s="1064">
        <f t="shared" si="65"/>
        <v>31</v>
      </c>
      <c r="AT374" s="1064">
        <f>AS374*('Ввод исходных данных'!$D$83-AQ374)</f>
        <v>809.1</v>
      </c>
      <c r="AU374" s="1070">
        <v>0.1</v>
      </c>
      <c r="AV374" s="1070"/>
      <c r="AW374" s="1070">
        <f t="shared" si="66"/>
        <v>30</v>
      </c>
      <c r="AX374" s="1070">
        <f>AW374*('Ввод исходных данных'!$D$83-AU374)</f>
        <v>537</v>
      </c>
      <c r="AY374" s="1071">
        <v>5.9</v>
      </c>
      <c r="AZ374" s="1071"/>
      <c r="BA374" s="1071">
        <f t="shared" si="67"/>
        <v>12.5</v>
      </c>
      <c r="BB374" s="1071">
        <f>BA374*('Ввод исходных данных'!$D$83-AY374)</f>
        <v>151.25</v>
      </c>
      <c r="BC374" s="1072">
        <v>11.1</v>
      </c>
      <c r="BD374" s="1072"/>
      <c r="BE374" s="1072">
        <f t="shared" si="59"/>
        <v>0</v>
      </c>
      <c r="BF374" s="1073">
        <f>BE374*('Ввод исходных данных'!$D$83-BC374)</f>
        <v>0</v>
      </c>
    </row>
    <row r="375" spans="1:58" ht="15.75" customHeight="1" x14ac:dyDescent="0.25">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5082</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46.550000000000004</v>
      </c>
      <c r="W375" s="1065">
        <v>6.4</v>
      </c>
      <c r="X375" s="1065"/>
      <c r="Y375" s="1065">
        <f t="shared" si="63"/>
        <v>31</v>
      </c>
      <c r="Z375" s="1065">
        <f>Y375*('Ввод исходных данных'!$D$83-W375)</f>
        <v>359.59999999999997</v>
      </c>
      <c r="AA375" s="1066">
        <v>-1.9</v>
      </c>
      <c r="AB375" s="1066"/>
      <c r="AC375" s="1066">
        <f t="shared" si="64"/>
        <v>30</v>
      </c>
      <c r="AD375" s="1066">
        <f>AC375*('Ввод исходных данных'!$D$83-AA375)</f>
        <v>597</v>
      </c>
      <c r="AE375" s="1067">
        <v>-8.6</v>
      </c>
      <c r="AF375" s="1067"/>
      <c r="AG375" s="1067">
        <v>31</v>
      </c>
      <c r="AH375" s="1067">
        <f>AG375*('Ввод исходных данных'!$D$83-AE375)</f>
        <v>824.6</v>
      </c>
      <c r="AI375" s="1068">
        <v>-13.5</v>
      </c>
      <c r="AJ375" s="1068"/>
      <c r="AK375" s="1068">
        <v>31</v>
      </c>
      <c r="AL375" s="1068">
        <f>AK375*('Ввод исходных данных'!$D$83-AI375)</f>
        <v>976.5</v>
      </c>
      <c r="AM375" s="1069">
        <v>-12.4</v>
      </c>
      <c r="AN375" s="1069"/>
      <c r="AO375" s="1069">
        <v>28</v>
      </c>
      <c r="AP375" s="1069">
        <f>AO375*('Ввод исходных данных'!$D$83-AM375)</f>
        <v>851.19999999999993</v>
      </c>
      <c r="AQ375" s="1064">
        <v>-6.5</v>
      </c>
      <c r="AR375" s="1064"/>
      <c r="AS375" s="1064">
        <f t="shared" si="65"/>
        <v>31</v>
      </c>
      <c r="AT375" s="1064">
        <f>AS375*('Ввод исходных данных'!$D$83-AQ375)</f>
        <v>759.5</v>
      </c>
      <c r="AU375" s="1070">
        <v>0.9</v>
      </c>
      <c r="AV375" s="1070"/>
      <c r="AW375" s="1070">
        <f t="shared" si="66"/>
        <v>30</v>
      </c>
      <c r="AX375" s="1070">
        <f>AW375*('Ввод исходных данных'!$D$83-AU375)</f>
        <v>513</v>
      </c>
      <c r="AY375" s="1071">
        <v>6.2</v>
      </c>
      <c r="AZ375" s="1071"/>
      <c r="BA375" s="1071">
        <f t="shared" si="67"/>
        <v>9.5</v>
      </c>
      <c r="BB375" s="1071">
        <f>BA375*('Ввод исходных данных'!$D$83-AY375)</f>
        <v>112.10000000000001</v>
      </c>
      <c r="BC375" s="1072">
        <v>10.9</v>
      </c>
      <c r="BD375" s="1072"/>
      <c r="BE375" s="1072">
        <f t="shared" si="59"/>
        <v>0</v>
      </c>
      <c r="BF375" s="1073">
        <f>BE375*('Ввод исходных данных'!$D$83-BC375)</f>
        <v>0</v>
      </c>
    </row>
    <row r="376" spans="1:58" ht="15.75" customHeight="1" x14ac:dyDescent="0.25">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6691.2</v>
      </c>
      <c r="J376" s="1059" t="str">
        <f t="shared" si="58"/>
        <v>6000-7000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129.19999999999999</v>
      </c>
      <c r="W376" s="1065">
        <v>2.1</v>
      </c>
      <c r="X376" s="1065"/>
      <c r="Y376" s="1065">
        <f t="shared" si="63"/>
        <v>31</v>
      </c>
      <c r="Z376" s="1065">
        <f>Y376*('Ввод исходных данных'!$D$83-W376)</f>
        <v>492.90000000000003</v>
      </c>
      <c r="AA376" s="1066">
        <v>-9.1</v>
      </c>
      <c r="AB376" s="1066"/>
      <c r="AC376" s="1066">
        <f t="shared" si="64"/>
        <v>30</v>
      </c>
      <c r="AD376" s="1066">
        <f>AC376*('Ввод исходных данных'!$D$83-AA376)</f>
        <v>813</v>
      </c>
      <c r="AE376" s="1067">
        <v>-19.3</v>
      </c>
      <c r="AF376" s="1067"/>
      <c r="AG376" s="1067">
        <v>31</v>
      </c>
      <c r="AH376" s="1067">
        <f>AG376*('Ввод исходных данных'!$D$83-AE376)</f>
        <v>1156.3</v>
      </c>
      <c r="AI376" s="1068">
        <v>-23.6</v>
      </c>
      <c r="AJ376" s="1068"/>
      <c r="AK376" s="1068">
        <v>31</v>
      </c>
      <c r="AL376" s="1068">
        <f>AK376*('Ввод исходных данных'!$D$83-AI376)</f>
        <v>1289.6000000000001</v>
      </c>
      <c r="AM376" s="1069">
        <v>-19.7</v>
      </c>
      <c r="AN376" s="1069"/>
      <c r="AO376" s="1069">
        <v>28</v>
      </c>
      <c r="AP376" s="1069">
        <f>AO376*('Ввод исходных данных'!$D$83-AM376)</f>
        <v>1055.6000000000001</v>
      </c>
      <c r="AQ376" s="1064">
        <v>-12</v>
      </c>
      <c r="AR376" s="1064"/>
      <c r="AS376" s="1064">
        <f t="shared" si="65"/>
        <v>31</v>
      </c>
      <c r="AT376" s="1064">
        <f>AS376*('Ввод исходных данных'!$D$83-AQ376)</f>
        <v>930</v>
      </c>
      <c r="AU376" s="1070">
        <v>-1.7</v>
      </c>
      <c r="AV376" s="1070"/>
      <c r="AW376" s="1070">
        <f t="shared" si="66"/>
        <v>30</v>
      </c>
      <c r="AX376" s="1070">
        <f>AW376*('Ввод исходных данных'!$D$83-AU376)</f>
        <v>591</v>
      </c>
      <c r="AY376" s="1071">
        <v>5.6</v>
      </c>
      <c r="AZ376" s="1071"/>
      <c r="BA376" s="1071">
        <f t="shared" si="67"/>
        <v>17</v>
      </c>
      <c r="BB376" s="1071">
        <f>BA376*('Ввод исходных данных'!$D$83-AY376)</f>
        <v>210.8</v>
      </c>
      <c r="BC376" s="1072">
        <v>11.7</v>
      </c>
      <c r="BD376" s="1072"/>
      <c r="BE376" s="1072">
        <f t="shared" si="59"/>
        <v>0</v>
      </c>
      <c r="BF376" s="1073">
        <f>BE376*('Ввод исходных данных'!$D$83-BC376)</f>
        <v>0</v>
      </c>
    </row>
    <row r="377" spans="1:58" ht="15.75" customHeight="1" x14ac:dyDescent="0.25">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4802.3999999999996</v>
      </c>
      <c r="J377" s="1059" t="str">
        <f t="shared" si="58"/>
        <v>4000-5000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43.000000000000007</v>
      </c>
      <c r="W377" s="1065">
        <v>7.4</v>
      </c>
      <c r="X377" s="1065"/>
      <c r="Y377" s="1065">
        <f t="shared" si="63"/>
        <v>31</v>
      </c>
      <c r="Z377" s="1065">
        <f>Y377*('Ввод исходных данных'!$D$83-W377)</f>
        <v>328.59999999999997</v>
      </c>
      <c r="AA377" s="1066">
        <v>-0.4</v>
      </c>
      <c r="AB377" s="1066"/>
      <c r="AC377" s="1066">
        <f t="shared" si="64"/>
        <v>30</v>
      </c>
      <c r="AD377" s="1066">
        <f>AC377*('Ввод исходных данных'!$D$83-AA377)</f>
        <v>552</v>
      </c>
      <c r="AE377" s="1067">
        <v>-6.8</v>
      </c>
      <c r="AF377" s="1067"/>
      <c r="AG377" s="1067">
        <v>31</v>
      </c>
      <c r="AH377" s="1067">
        <f>AG377*('Ввод исходных данных'!$D$83-AE377)</f>
        <v>768.80000000000007</v>
      </c>
      <c r="AI377" s="1068">
        <v>-10.7</v>
      </c>
      <c r="AJ377" s="1068"/>
      <c r="AK377" s="1068">
        <v>31</v>
      </c>
      <c r="AL377" s="1068">
        <f>AK377*('Ввод исходных данных'!$D$83-AI377)</f>
        <v>889.69999999999993</v>
      </c>
      <c r="AM377" s="1069">
        <v>-10.1</v>
      </c>
      <c r="AN377" s="1069"/>
      <c r="AO377" s="1069">
        <v>28</v>
      </c>
      <c r="AP377" s="1069">
        <f>AO377*('Ввод исходных данных'!$D$83-AM377)</f>
        <v>786.80000000000007</v>
      </c>
      <c r="AQ377" s="1064">
        <v>-5.3</v>
      </c>
      <c r="AR377" s="1064"/>
      <c r="AS377" s="1064">
        <f t="shared" si="65"/>
        <v>31</v>
      </c>
      <c r="AT377" s="1064">
        <f>AS377*('Ввод исходных данных'!$D$83-AQ377)</f>
        <v>722.30000000000007</v>
      </c>
      <c r="AU377" s="1070">
        <v>1.2</v>
      </c>
      <c r="AV377" s="1070"/>
      <c r="AW377" s="1070">
        <f t="shared" si="66"/>
        <v>30</v>
      </c>
      <c r="AX377" s="1070">
        <f>AW377*('Ввод исходных данных'!$D$83-AU377)</f>
        <v>504</v>
      </c>
      <c r="AY377" s="1071">
        <v>5.6</v>
      </c>
      <c r="AZ377" s="1071"/>
      <c r="BA377" s="1071">
        <f t="shared" si="67"/>
        <v>10</v>
      </c>
      <c r="BB377" s="1071">
        <f>BA377*('Ввод исходных данных'!$D$83-AY377)</f>
        <v>124</v>
      </c>
      <c r="BC377" s="1072">
        <v>10</v>
      </c>
      <c r="BD377" s="1072"/>
      <c r="BE377" s="1072">
        <f t="shared" si="59"/>
        <v>0</v>
      </c>
      <c r="BF377" s="1073">
        <f>BE377*('Ввод исходных данных'!$D$83-BC377)</f>
        <v>0</v>
      </c>
    </row>
    <row r="378" spans="1:58" ht="15.75" customHeight="1" x14ac:dyDescent="0.25">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4103.2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24.75</v>
      </c>
      <c r="W378" s="1065">
        <v>9.1999999999999993</v>
      </c>
      <c r="X378" s="1065"/>
      <c r="Y378" s="1065">
        <f t="shared" si="63"/>
        <v>31</v>
      </c>
      <c r="Z378" s="1065">
        <f>Y378*('Ввод исходных данных'!$D$83-W378)</f>
        <v>272.8</v>
      </c>
      <c r="AA378" s="1066">
        <v>3.6</v>
      </c>
      <c r="AB378" s="1066"/>
      <c r="AC378" s="1066">
        <f t="shared" si="64"/>
        <v>30</v>
      </c>
      <c r="AD378" s="1066">
        <f>AC378*('Ввод исходных данных'!$D$83-AA378)</f>
        <v>432</v>
      </c>
      <c r="AE378" s="1067">
        <v>-1.4</v>
      </c>
      <c r="AF378" s="1067"/>
      <c r="AG378" s="1067">
        <v>31</v>
      </c>
      <c r="AH378" s="1067">
        <f>AG378*('Ввод исходных данных'!$D$83-AE378)</f>
        <v>601.4</v>
      </c>
      <c r="AI378" s="1068">
        <v>-4.5999999999999996</v>
      </c>
      <c r="AJ378" s="1068"/>
      <c r="AK378" s="1068">
        <v>31</v>
      </c>
      <c r="AL378" s="1068">
        <f>AK378*('Ввод исходных данных'!$D$83-AI378)</f>
        <v>700.6</v>
      </c>
      <c r="AM378" s="1069">
        <v>-6.1</v>
      </c>
      <c r="AN378" s="1069"/>
      <c r="AO378" s="1069">
        <v>28</v>
      </c>
      <c r="AP378" s="1069">
        <f>AO378*('Ввод исходных данных'!$D$83-AM378)</f>
        <v>674.80000000000007</v>
      </c>
      <c r="AQ378" s="1064">
        <v>-3.6</v>
      </c>
      <c r="AR378" s="1064"/>
      <c r="AS378" s="1064">
        <f t="shared" si="65"/>
        <v>31</v>
      </c>
      <c r="AT378" s="1064">
        <f>AS378*('Ввод исходных данных'!$D$83-AQ378)</f>
        <v>669.6</v>
      </c>
      <c r="AU378" s="1070">
        <v>1.5</v>
      </c>
      <c r="AV378" s="1070"/>
      <c r="AW378" s="1070">
        <f t="shared" si="66"/>
        <v>30</v>
      </c>
      <c r="AX378" s="1070">
        <f>AW378*('Ввод исходных данных'!$D$83-AU378)</f>
        <v>495</v>
      </c>
      <c r="AY378" s="1071">
        <v>6</v>
      </c>
      <c r="AZ378" s="1071"/>
      <c r="BA378" s="1071">
        <f t="shared" si="67"/>
        <v>5.5</v>
      </c>
      <c r="BB378" s="1071">
        <f>BA378*('Ввод исходных данных'!$D$83-AY378)</f>
        <v>66</v>
      </c>
      <c r="BC378" s="1072">
        <v>9.5</v>
      </c>
      <c r="BD378" s="1072"/>
      <c r="BE378" s="1072">
        <f t="shared" si="59"/>
        <v>0</v>
      </c>
      <c r="BF378" s="1073">
        <f>BE378*('Ввод исходных данных'!$D$83-BC378)</f>
        <v>0</v>
      </c>
    </row>
    <row r="379" spans="1:58" ht="15.75" customHeight="1" x14ac:dyDescent="0.25">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5350.2</v>
      </c>
      <c r="J379" s="1059" t="str">
        <f t="shared" si="58"/>
        <v>5000-6000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75.399999999999991</v>
      </c>
      <c r="W379" s="1065">
        <v>6</v>
      </c>
      <c r="X379" s="1065"/>
      <c r="Y379" s="1065">
        <f t="shared" si="63"/>
        <v>31</v>
      </c>
      <c r="Z379" s="1065">
        <f>Y379*('Ввод исходных данных'!$D$83-W379)</f>
        <v>372</v>
      </c>
      <c r="AA379" s="1066">
        <v>-3</v>
      </c>
      <c r="AB379" s="1066"/>
      <c r="AC379" s="1066">
        <f t="shared" si="64"/>
        <v>30</v>
      </c>
      <c r="AD379" s="1066">
        <f>AC379*('Ввод исходных данных'!$D$83-AA379)</f>
        <v>630</v>
      </c>
      <c r="AE379" s="1067">
        <v>-10.199999999999999</v>
      </c>
      <c r="AF379" s="1067"/>
      <c r="AG379" s="1067">
        <v>31</v>
      </c>
      <c r="AH379" s="1067">
        <f>AG379*('Ввод исходных данных'!$D$83-AE379)</f>
        <v>874.19999999999993</v>
      </c>
      <c r="AI379" s="1068">
        <v>-14.3</v>
      </c>
      <c r="AJ379" s="1068"/>
      <c r="AK379" s="1068">
        <v>31</v>
      </c>
      <c r="AL379" s="1068">
        <f>AK379*('Ввод исходных данных'!$D$83-AI379)</f>
        <v>1001.3</v>
      </c>
      <c r="AM379" s="1069">
        <v>-12.3</v>
      </c>
      <c r="AN379" s="1069"/>
      <c r="AO379" s="1069">
        <v>28</v>
      </c>
      <c r="AP379" s="1069">
        <f>AO379*('Ввод исходных данных'!$D$83-AM379)</f>
        <v>848.4</v>
      </c>
      <c r="AQ379" s="1064">
        <v>-6.7</v>
      </c>
      <c r="AR379" s="1064"/>
      <c r="AS379" s="1064">
        <f t="shared" si="65"/>
        <v>31</v>
      </c>
      <c r="AT379" s="1064">
        <f>AS379*('Ввод исходных данных'!$D$83-AQ379)</f>
        <v>765.69999999999993</v>
      </c>
      <c r="AU379" s="1070">
        <v>0.9</v>
      </c>
      <c r="AV379" s="1070"/>
      <c r="AW379" s="1070">
        <f t="shared" si="66"/>
        <v>30</v>
      </c>
      <c r="AX379" s="1070">
        <f>AW379*('Ввод исходных данных'!$D$83-AU379)</f>
        <v>513</v>
      </c>
      <c r="AY379" s="1071">
        <v>5.3</v>
      </c>
      <c r="AZ379" s="1071"/>
      <c r="BA379" s="1071">
        <f t="shared" si="67"/>
        <v>14.5</v>
      </c>
      <c r="BB379" s="1071">
        <f>BA379*('Ввод исходных данных'!$D$83-AY379)</f>
        <v>184.14999999999998</v>
      </c>
      <c r="BC379" s="1072">
        <v>9.5</v>
      </c>
      <c r="BD379" s="1072"/>
      <c r="BE379" s="1072">
        <f t="shared" si="59"/>
        <v>0</v>
      </c>
      <c r="BF379" s="1073">
        <f>BE379*('Ввод исходных данных'!$D$83-BC379)</f>
        <v>0</v>
      </c>
    </row>
    <row r="380" spans="1:58" ht="15.75" customHeight="1" x14ac:dyDescent="0.25">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4401.9000000000005</v>
      </c>
      <c r="J380" s="1059" t="str">
        <f t="shared" si="58"/>
        <v>4000-5000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12.599999999999998</v>
      </c>
      <c r="W380" s="1065">
        <v>8.3000000000000007</v>
      </c>
      <c r="X380" s="1065"/>
      <c r="Y380" s="1065">
        <f t="shared" si="63"/>
        <v>31</v>
      </c>
      <c r="Z380" s="1065">
        <f>Y380*('Ввод исходных данных'!$D$83-W380)</f>
        <v>300.7</v>
      </c>
      <c r="AA380" s="1066">
        <v>0.6</v>
      </c>
      <c r="AB380" s="1066"/>
      <c r="AC380" s="1066">
        <f t="shared" si="64"/>
        <v>30</v>
      </c>
      <c r="AD380" s="1066">
        <f>AC380*('Ввод исходных данных'!$D$83-AA380)</f>
        <v>522</v>
      </c>
      <c r="AE380" s="1067">
        <v>-5.2</v>
      </c>
      <c r="AF380" s="1067"/>
      <c r="AG380" s="1067">
        <v>31</v>
      </c>
      <c r="AH380" s="1067">
        <f>AG380*('Ввод исходных данных'!$D$83-AE380)</f>
        <v>719.19999999999993</v>
      </c>
      <c r="AI380" s="1068">
        <v>-8.1999999999999993</v>
      </c>
      <c r="AJ380" s="1068"/>
      <c r="AK380" s="1068">
        <v>31</v>
      </c>
      <c r="AL380" s="1068">
        <f>AK380*('Ввод исходных данных'!$D$83-AI380)</f>
        <v>812.19999999999993</v>
      </c>
      <c r="AM380" s="1069">
        <v>-7.7</v>
      </c>
      <c r="AN380" s="1069"/>
      <c r="AO380" s="1069">
        <v>28</v>
      </c>
      <c r="AP380" s="1069">
        <f>AO380*('Ввод исходных данных'!$D$83-AM380)</f>
        <v>719.6</v>
      </c>
      <c r="AQ380" s="1064">
        <v>-3.4</v>
      </c>
      <c r="AR380" s="1064"/>
      <c r="AS380" s="1064">
        <f t="shared" si="65"/>
        <v>31</v>
      </c>
      <c r="AT380" s="1064">
        <f>AS380*('Ввод исходных данных'!$D$83-AQ380)</f>
        <v>663.4</v>
      </c>
      <c r="AU380" s="1070">
        <v>2.4</v>
      </c>
      <c r="AV380" s="1070"/>
      <c r="AW380" s="1070">
        <f t="shared" si="66"/>
        <v>30</v>
      </c>
      <c r="AX380" s="1070">
        <f>AW380*('Ввод исходных данных'!$D$83-AU380)</f>
        <v>468</v>
      </c>
      <c r="AY380" s="1071">
        <v>7.1</v>
      </c>
      <c r="AZ380" s="1071"/>
      <c r="BA380" s="1071">
        <f t="shared" si="67"/>
        <v>3.5</v>
      </c>
      <c r="BB380" s="1071">
        <f>BA380*('Ввод исходных данных'!$D$83-AY380)</f>
        <v>38.15</v>
      </c>
      <c r="BC380" s="1072">
        <v>11.3</v>
      </c>
      <c r="BD380" s="1072"/>
      <c r="BE380" s="1072">
        <f t="shared" si="59"/>
        <v>0</v>
      </c>
      <c r="BF380" s="1073">
        <f>BE380*('Ввод исходных данных'!$D$83-BC380)</f>
        <v>0</v>
      </c>
    </row>
    <row r="381" spans="1:58" ht="15.75" customHeight="1" x14ac:dyDescent="0.25">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6400.8</v>
      </c>
      <c r="J381" s="1059" t="str">
        <f t="shared" si="58"/>
        <v>6000-7000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153.30000000000001</v>
      </c>
      <c r="W381" s="1065">
        <v>3.2</v>
      </c>
      <c r="X381" s="1065"/>
      <c r="Y381" s="1065">
        <f t="shared" si="63"/>
        <v>31</v>
      </c>
      <c r="Z381" s="1065">
        <f>Y381*('Ввод исходных данных'!$D$83-W381)</f>
        <v>458.8</v>
      </c>
      <c r="AA381" s="1066">
        <v>-7.2</v>
      </c>
      <c r="AB381" s="1066"/>
      <c r="AC381" s="1066">
        <f t="shared" si="64"/>
        <v>30</v>
      </c>
      <c r="AD381" s="1066">
        <f>AC381*('Ввод исходных данных'!$D$83-AA381)</f>
        <v>756</v>
      </c>
      <c r="AE381" s="1067">
        <v>-15.3</v>
      </c>
      <c r="AF381" s="1067"/>
      <c r="AG381" s="1067">
        <v>31</v>
      </c>
      <c r="AH381" s="1067">
        <f>AG381*('Ввод исходных данных'!$D$83-AE381)</f>
        <v>1032.3</v>
      </c>
      <c r="AI381" s="1068">
        <v>-18</v>
      </c>
      <c r="AJ381" s="1068"/>
      <c r="AK381" s="1068">
        <v>31</v>
      </c>
      <c r="AL381" s="1068">
        <f>AK381*('Ввод исходных данных'!$D$83-AI381)</f>
        <v>1116</v>
      </c>
      <c r="AM381" s="1069">
        <v>-15.9</v>
      </c>
      <c r="AN381" s="1069"/>
      <c r="AO381" s="1069">
        <v>28</v>
      </c>
      <c r="AP381" s="1069">
        <f>AO381*('Ввод исходных данных'!$D$83-AM381)</f>
        <v>949.19999999999993</v>
      </c>
      <c r="AQ381" s="1064">
        <v>-9.6</v>
      </c>
      <c r="AR381" s="1064"/>
      <c r="AS381" s="1064">
        <f t="shared" si="65"/>
        <v>31</v>
      </c>
      <c r="AT381" s="1064">
        <f>AS381*('Ввод исходных данных'!$D$83-AQ381)</f>
        <v>855.6</v>
      </c>
      <c r="AU381" s="1070">
        <v>-1.7</v>
      </c>
      <c r="AV381" s="1070"/>
      <c r="AW381" s="1070">
        <f t="shared" si="66"/>
        <v>30</v>
      </c>
      <c r="AX381" s="1070">
        <f>AW381*('Ввод исходных данных'!$D$83-AU381)</f>
        <v>591</v>
      </c>
      <c r="AY381" s="1071">
        <v>3.6</v>
      </c>
      <c r="AZ381" s="1071"/>
      <c r="BA381" s="1071">
        <f t="shared" si="67"/>
        <v>21</v>
      </c>
      <c r="BB381" s="1071">
        <f>BA381*('Ввод исходных данных'!$D$83-AY381)</f>
        <v>302.40000000000003</v>
      </c>
      <c r="BC381" s="1072">
        <v>9.3000000000000007</v>
      </c>
      <c r="BD381" s="1072"/>
      <c r="BE381" s="1072">
        <f t="shared" si="59"/>
        <v>0</v>
      </c>
      <c r="BF381" s="1073">
        <f>BE381*('Ввод исходных данных'!$D$83-BC381)</f>
        <v>0</v>
      </c>
    </row>
    <row r="382" spans="1:58" ht="15.75" customHeight="1" x14ac:dyDescent="0.25">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6729.8</v>
      </c>
      <c r="J382" s="1059" t="str">
        <f t="shared" si="58"/>
        <v>6000-7000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210.60000000000002</v>
      </c>
      <c r="W382" s="1065">
        <v>2.7</v>
      </c>
      <c r="X382" s="1065"/>
      <c r="Y382" s="1065">
        <f t="shared" si="63"/>
        <v>31</v>
      </c>
      <c r="Z382" s="1065">
        <f>Y382*('Ввод исходных данных'!$D$83-W382)</f>
        <v>474.3</v>
      </c>
      <c r="AA382" s="1066">
        <v>-6.3</v>
      </c>
      <c r="AB382" s="1066"/>
      <c r="AC382" s="1066">
        <f t="shared" si="64"/>
        <v>30</v>
      </c>
      <c r="AD382" s="1066">
        <f>AC382*('Ввод исходных данных'!$D$83-AA382)</f>
        <v>729</v>
      </c>
      <c r="AE382" s="1067">
        <v>-15.1</v>
      </c>
      <c r="AF382" s="1067"/>
      <c r="AG382" s="1067">
        <v>31</v>
      </c>
      <c r="AH382" s="1067">
        <f>AG382*('Ввод исходных данных'!$D$83-AE382)</f>
        <v>1026.1000000000001</v>
      </c>
      <c r="AI382" s="1068">
        <v>-19.7</v>
      </c>
      <c r="AJ382" s="1068"/>
      <c r="AK382" s="1068">
        <v>31</v>
      </c>
      <c r="AL382" s="1068">
        <f>AK382*('Ввод исходных данных'!$D$83-AI382)</f>
        <v>1168.7</v>
      </c>
      <c r="AM382" s="1069">
        <v>-17.7</v>
      </c>
      <c r="AN382" s="1069"/>
      <c r="AO382" s="1069">
        <v>28</v>
      </c>
      <c r="AP382" s="1069">
        <f>AO382*('Ввод исходных данных'!$D$83-AM382)</f>
        <v>999.60000000000014</v>
      </c>
      <c r="AQ382" s="1064">
        <v>-12.5</v>
      </c>
      <c r="AR382" s="1064"/>
      <c r="AS382" s="1064">
        <f t="shared" si="65"/>
        <v>31</v>
      </c>
      <c r="AT382" s="1064">
        <f>AS382*('Ввод исходных данных'!$D$83-AQ382)</f>
        <v>945.5</v>
      </c>
      <c r="AU382" s="1070">
        <v>-4</v>
      </c>
      <c r="AV382" s="1070"/>
      <c r="AW382" s="1070">
        <f t="shared" si="66"/>
        <v>30</v>
      </c>
      <c r="AX382" s="1070">
        <f>AW382*('Ввод исходных данных'!$D$83-AU382)</f>
        <v>660</v>
      </c>
      <c r="AY382" s="1071">
        <v>1.5</v>
      </c>
      <c r="AZ382" s="1071"/>
      <c r="BA382" s="1071">
        <f t="shared" si="67"/>
        <v>27</v>
      </c>
      <c r="BB382" s="1071">
        <f>BA382*('Ввод исходных данных'!$D$83-AY382)</f>
        <v>445.5</v>
      </c>
      <c r="BC382" s="1072">
        <v>7.7</v>
      </c>
      <c r="BD382" s="1072"/>
      <c r="BE382" s="1072">
        <f t="shared" si="59"/>
        <v>0</v>
      </c>
      <c r="BF382" s="1073">
        <f>BE382*('Ввод исходных данных'!$D$83-BC382)</f>
        <v>0</v>
      </c>
    </row>
    <row r="383" spans="1:58" ht="15.75" customHeight="1" x14ac:dyDescent="0.25">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6648.3</v>
      </c>
      <c r="J383" s="1059" t="str">
        <f t="shared" si="58"/>
        <v>6000-7000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114.69999999999999</v>
      </c>
      <c r="W383" s="1065">
        <v>3.9</v>
      </c>
      <c r="X383" s="1065"/>
      <c r="Y383" s="1065">
        <f t="shared" si="63"/>
        <v>31</v>
      </c>
      <c r="Z383" s="1065">
        <f>Y383*('Ввод исходных данных'!$D$83-W383)</f>
        <v>437.09999999999997</v>
      </c>
      <c r="AA383" s="1066">
        <v>-7.3</v>
      </c>
      <c r="AB383" s="1066"/>
      <c r="AC383" s="1066">
        <f t="shared" si="64"/>
        <v>30</v>
      </c>
      <c r="AD383" s="1066">
        <f>AC383*('Ввод исходных данных'!$D$83-AA383)</f>
        <v>759</v>
      </c>
      <c r="AE383" s="1067">
        <v>-16</v>
      </c>
      <c r="AF383" s="1067"/>
      <c r="AG383" s="1067">
        <v>31</v>
      </c>
      <c r="AH383" s="1067">
        <f>AG383*('Ввод исходных данных'!$D$83-AE383)</f>
        <v>1054</v>
      </c>
      <c r="AI383" s="1068">
        <v>-19.600000000000001</v>
      </c>
      <c r="AJ383" s="1068"/>
      <c r="AK383" s="1068">
        <v>31</v>
      </c>
      <c r="AL383" s="1068">
        <f>AK383*('Ввод исходных данных'!$D$83-AI383)</f>
        <v>1165.6000000000001</v>
      </c>
      <c r="AM383" s="1069">
        <v>-18.3</v>
      </c>
      <c r="AN383" s="1069"/>
      <c r="AO383" s="1069">
        <v>28</v>
      </c>
      <c r="AP383" s="1069">
        <f>AO383*('Ввод исходных данных'!$D$83-AM383)</f>
        <v>1016.3999999999999</v>
      </c>
      <c r="AQ383" s="1064">
        <v>-11.9</v>
      </c>
      <c r="AR383" s="1064"/>
      <c r="AS383" s="1064">
        <f t="shared" si="65"/>
        <v>31</v>
      </c>
      <c r="AT383" s="1064">
        <f>AS383*('Ввод исходных данных'!$D$83-AQ383)</f>
        <v>926.9</v>
      </c>
      <c r="AU383" s="1070">
        <v>-3.2</v>
      </c>
      <c r="AV383" s="1070"/>
      <c r="AW383" s="1070">
        <f t="shared" si="66"/>
        <v>30</v>
      </c>
      <c r="AX383" s="1070">
        <f>AW383*('Ввод исходных данных'!$D$83-AU383)</f>
        <v>636</v>
      </c>
      <c r="AY383" s="1071">
        <v>2.4</v>
      </c>
      <c r="AZ383" s="1071"/>
      <c r="BA383" s="1071">
        <f t="shared" si="67"/>
        <v>18.5</v>
      </c>
      <c r="BB383" s="1071">
        <f>BA383*('Ввод исходных данных'!$D$83-AY383)</f>
        <v>288.59999999999997</v>
      </c>
      <c r="BC383" s="1072">
        <v>9.8000000000000007</v>
      </c>
      <c r="BD383" s="1072"/>
      <c r="BE383" s="1072">
        <f t="shared" si="59"/>
        <v>0</v>
      </c>
      <c r="BF383" s="1073">
        <f>BE383*('Ввод исходных данных'!$D$83-BC383)</f>
        <v>0</v>
      </c>
    </row>
    <row r="384" spans="1:58" ht="15.75" customHeight="1" x14ac:dyDescent="0.25">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5831</v>
      </c>
      <c r="J384" s="1059" t="str">
        <f t="shared" si="58"/>
        <v>5000-6000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97.350000000000009</v>
      </c>
      <c r="W384" s="1065">
        <v>5.0999999999999996</v>
      </c>
      <c r="X384" s="1065"/>
      <c r="Y384" s="1065">
        <f t="shared" si="63"/>
        <v>31</v>
      </c>
      <c r="Z384" s="1065">
        <f>Y384*('Ввод исходных данных'!$D$83-W384)</f>
        <v>399.90000000000003</v>
      </c>
      <c r="AA384" s="1066">
        <v>-4.5999999999999996</v>
      </c>
      <c r="AB384" s="1066"/>
      <c r="AC384" s="1066">
        <f t="shared" si="64"/>
        <v>30</v>
      </c>
      <c r="AD384" s="1066">
        <f>AC384*('Ввод исходных данных'!$D$83-AA384)</f>
        <v>678</v>
      </c>
      <c r="AE384" s="1067">
        <v>-13</v>
      </c>
      <c r="AF384" s="1067"/>
      <c r="AG384" s="1067">
        <v>31</v>
      </c>
      <c r="AH384" s="1067">
        <f>AG384*('Ввод исходных данных'!$D$83-AE384)</f>
        <v>961</v>
      </c>
      <c r="AI384" s="1068">
        <v>-16.100000000000001</v>
      </c>
      <c r="AJ384" s="1068"/>
      <c r="AK384" s="1068">
        <v>31</v>
      </c>
      <c r="AL384" s="1068">
        <f>AK384*('Ввод исходных данных'!$D$83-AI384)</f>
        <v>1057.1000000000001</v>
      </c>
      <c r="AM384" s="1069">
        <v>-13.9</v>
      </c>
      <c r="AN384" s="1069"/>
      <c r="AO384" s="1069">
        <v>28</v>
      </c>
      <c r="AP384" s="1069">
        <f>AO384*('Ввод исходных данных'!$D$83-AM384)</f>
        <v>893.19999999999993</v>
      </c>
      <c r="AQ384" s="1064">
        <v>-7.1</v>
      </c>
      <c r="AR384" s="1064"/>
      <c r="AS384" s="1064">
        <f t="shared" si="65"/>
        <v>31</v>
      </c>
      <c r="AT384" s="1064">
        <f>AS384*('Ввод исходных данных'!$D$83-AQ384)</f>
        <v>778.1</v>
      </c>
      <c r="AU384" s="1070">
        <v>0.1</v>
      </c>
      <c r="AV384" s="1070"/>
      <c r="AW384" s="1070">
        <f t="shared" si="66"/>
        <v>30</v>
      </c>
      <c r="AX384" s="1070">
        <f>AW384*('Ввод исходных данных'!$D$83-AU384)</f>
        <v>537</v>
      </c>
      <c r="AY384" s="1071">
        <v>4.8</v>
      </c>
      <c r="AZ384" s="1071"/>
      <c r="BA384" s="1071">
        <f t="shared" si="67"/>
        <v>16.5</v>
      </c>
      <c r="BB384" s="1071">
        <f>BA384*('Ввод исходных данных'!$D$83-AY384)</f>
        <v>217.79999999999998</v>
      </c>
      <c r="BC384" s="1072">
        <v>9.4</v>
      </c>
      <c r="BD384" s="1072"/>
      <c r="BE384" s="1072">
        <f t="shared" si="59"/>
        <v>0</v>
      </c>
      <c r="BF384" s="1073">
        <f>BE384*('Ввод исходных данных'!$D$83-BC384)</f>
        <v>0</v>
      </c>
    </row>
    <row r="385" spans="2:58" ht="15.75" customHeight="1" x14ac:dyDescent="0.25">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6859.5</v>
      </c>
      <c r="J385" s="1059" t="str">
        <f t="shared" si="58"/>
        <v>6000-7000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148.35</v>
      </c>
      <c r="W385" s="1065">
        <v>3.4</v>
      </c>
      <c r="X385" s="1065"/>
      <c r="Y385" s="1065">
        <f t="shared" si="63"/>
        <v>31</v>
      </c>
      <c r="Z385" s="1065">
        <f>Y385*('Ввод исходных данных'!$D$83-W385)</f>
        <v>452.59999999999997</v>
      </c>
      <c r="AA385" s="1066">
        <v>-6.9</v>
      </c>
      <c r="AB385" s="1066"/>
      <c r="AC385" s="1066">
        <f t="shared" si="64"/>
        <v>30</v>
      </c>
      <c r="AD385" s="1066">
        <f>AC385*('Ввод исходных данных'!$D$83-AA385)</f>
        <v>747</v>
      </c>
      <c r="AE385" s="1067">
        <v>-17.399999999999999</v>
      </c>
      <c r="AF385" s="1067"/>
      <c r="AG385" s="1067">
        <v>31</v>
      </c>
      <c r="AH385" s="1067">
        <f>AG385*('Ввод исходных данных'!$D$83-AE385)</f>
        <v>1097.3999999999999</v>
      </c>
      <c r="AI385" s="1068">
        <v>-22.3</v>
      </c>
      <c r="AJ385" s="1068"/>
      <c r="AK385" s="1068">
        <v>31</v>
      </c>
      <c r="AL385" s="1068">
        <f>AK385*('Ввод исходных данных'!$D$83-AI385)</f>
        <v>1249.3</v>
      </c>
      <c r="AM385" s="1069">
        <v>-20.100000000000001</v>
      </c>
      <c r="AN385" s="1069"/>
      <c r="AO385" s="1069">
        <v>28</v>
      </c>
      <c r="AP385" s="1069">
        <f>AO385*('Ввод исходных данных'!$D$83-AM385)</f>
        <v>1066.8</v>
      </c>
      <c r="AQ385" s="1064">
        <v>-14.3</v>
      </c>
      <c r="AR385" s="1064"/>
      <c r="AS385" s="1064">
        <f t="shared" si="65"/>
        <v>31</v>
      </c>
      <c r="AT385" s="1064">
        <f>AS385*('Ввод исходных данных'!$D$83-AQ385)</f>
        <v>1001.3</v>
      </c>
      <c r="AU385" s="1070">
        <v>-4.5999999999999996</v>
      </c>
      <c r="AV385" s="1070"/>
      <c r="AW385" s="1070">
        <f t="shared" si="66"/>
        <v>30</v>
      </c>
      <c r="AX385" s="1070">
        <f>AW385*('Ввод исходных данных'!$D$83-AU385)</f>
        <v>678</v>
      </c>
      <c r="AY385" s="1071">
        <v>1.8</v>
      </c>
      <c r="AZ385" s="1071"/>
      <c r="BA385" s="1071">
        <f t="shared" si="67"/>
        <v>21.5</v>
      </c>
      <c r="BB385" s="1071">
        <f>BA385*('Ввод исходных данных'!$D$83-AY385)</f>
        <v>348.3</v>
      </c>
      <c r="BC385" s="1072">
        <v>9.4</v>
      </c>
      <c r="BD385" s="1072"/>
      <c r="BE385" s="1072">
        <f t="shared" si="59"/>
        <v>0</v>
      </c>
      <c r="BF385" s="1073">
        <f>BE385*('Ввод исходных данных'!$D$83-BC385)</f>
        <v>0</v>
      </c>
    </row>
    <row r="386" spans="2:58" ht="15.75" customHeight="1" x14ac:dyDescent="0.25">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4466</v>
      </c>
      <c r="J386" s="1059" t="str">
        <f t="shared" si="58"/>
        <v>4000-5000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15.200000000000003</v>
      </c>
      <c r="W386" s="1065">
        <v>7.8</v>
      </c>
      <c r="X386" s="1065"/>
      <c r="Y386" s="1065">
        <f t="shared" si="63"/>
        <v>31</v>
      </c>
      <c r="Z386" s="1065">
        <f>Y386*('Ввод исходных данных'!$D$83-W386)</f>
        <v>316.2</v>
      </c>
      <c r="AA386" s="1066">
        <v>0</v>
      </c>
      <c r="AB386" s="1066"/>
      <c r="AC386" s="1066">
        <f t="shared" si="64"/>
        <v>30</v>
      </c>
      <c r="AD386" s="1066">
        <f>AC386*('Ввод исходных данных'!$D$83-AA386)</f>
        <v>540</v>
      </c>
      <c r="AE386" s="1067">
        <v>-6.1</v>
      </c>
      <c r="AF386" s="1067"/>
      <c r="AG386" s="1067">
        <v>31</v>
      </c>
      <c r="AH386" s="1067">
        <f>AG386*('Ввод исходных данных'!$D$83-AE386)</f>
        <v>747.1</v>
      </c>
      <c r="AI386" s="1068">
        <v>-9.6999999999999993</v>
      </c>
      <c r="AJ386" s="1068"/>
      <c r="AK386" s="1068">
        <v>31</v>
      </c>
      <c r="AL386" s="1068">
        <f>AK386*('Ввод исходных данных'!$D$83-AI386)</f>
        <v>858.69999999999993</v>
      </c>
      <c r="AM386" s="1069">
        <v>-8.6999999999999993</v>
      </c>
      <c r="AN386" s="1069"/>
      <c r="AO386" s="1069">
        <v>28</v>
      </c>
      <c r="AP386" s="1069">
        <f>AO386*('Ввод исходных данных'!$D$83-AM386)</f>
        <v>747.6</v>
      </c>
      <c r="AQ386" s="1064">
        <v>-4.2</v>
      </c>
      <c r="AR386" s="1064"/>
      <c r="AS386" s="1064">
        <f t="shared" si="65"/>
        <v>31</v>
      </c>
      <c r="AT386" s="1064">
        <f>AS386*('Ввод исходных данных'!$D$83-AQ386)</f>
        <v>688.19999999999993</v>
      </c>
      <c r="AU386" s="1070">
        <v>2.2999999999999998</v>
      </c>
      <c r="AV386" s="1070"/>
      <c r="AW386" s="1070">
        <f t="shared" si="66"/>
        <v>30</v>
      </c>
      <c r="AX386" s="1070">
        <f>AW386*('Ввод исходных данных'!$D$83-AU386)</f>
        <v>471</v>
      </c>
      <c r="AY386" s="1071">
        <v>6.9</v>
      </c>
      <c r="AZ386" s="1071"/>
      <c r="BA386" s="1071">
        <f t="shared" si="67"/>
        <v>4</v>
      </c>
      <c r="BB386" s="1071">
        <f>BA386*('Ввод исходных данных'!$D$83-AY386)</f>
        <v>44.4</v>
      </c>
      <c r="BC386" s="1072">
        <v>11.4</v>
      </c>
      <c r="BD386" s="1072"/>
      <c r="BE386" s="1072">
        <f t="shared" si="59"/>
        <v>0</v>
      </c>
      <c r="BF386" s="1073">
        <f>BE386*('Ввод исходных данных'!$D$83-BC386)</f>
        <v>0</v>
      </c>
    </row>
    <row r="387" spans="2:58" ht="15.75" customHeight="1" x14ac:dyDescent="0.25">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4050</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20.799999999999997</v>
      </c>
      <c r="W387" s="1065">
        <v>10.7</v>
      </c>
      <c r="X387" s="1065"/>
      <c r="Y387" s="1065">
        <f t="shared" si="63"/>
        <v>31</v>
      </c>
      <c r="Z387" s="1065">
        <f>Y387*('Ввод исходных данных'!$D$83-W387)</f>
        <v>226.3</v>
      </c>
      <c r="AA387" s="1066">
        <v>4.5</v>
      </c>
      <c r="AB387" s="1066"/>
      <c r="AC387" s="1066">
        <f t="shared" si="64"/>
        <v>30</v>
      </c>
      <c r="AD387" s="1066">
        <f>AC387*('Ввод исходных данных'!$D$83-AA387)</f>
        <v>405</v>
      </c>
      <c r="AE387" s="1067">
        <v>-1.1000000000000001</v>
      </c>
      <c r="AF387" s="1067"/>
      <c r="AG387" s="1067">
        <v>31</v>
      </c>
      <c r="AH387" s="1067">
        <f>AG387*('Ввод исходных данных'!$D$83-AE387)</f>
        <v>592.1</v>
      </c>
      <c r="AI387" s="1068">
        <v>-4.4000000000000004</v>
      </c>
      <c r="AJ387" s="1068"/>
      <c r="AK387" s="1068">
        <v>31</v>
      </c>
      <c r="AL387" s="1068">
        <f>AK387*('Ввод исходных данных'!$D$83-AI387)</f>
        <v>694.4</v>
      </c>
      <c r="AM387" s="1069">
        <v>-5.6</v>
      </c>
      <c r="AN387" s="1069"/>
      <c r="AO387" s="1069">
        <v>28</v>
      </c>
      <c r="AP387" s="1069">
        <f>AO387*('Ввод исходных данных'!$D$83-AM387)</f>
        <v>660.80000000000007</v>
      </c>
      <c r="AQ387" s="1064">
        <v>-2.7</v>
      </c>
      <c r="AR387" s="1064"/>
      <c r="AS387" s="1064">
        <f t="shared" si="65"/>
        <v>31</v>
      </c>
      <c r="AT387" s="1064">
        <f>AS387*('Ввод исходных данных'!$D$83-AQ387)</f>
        <v>641.69999999999993</v>
      </c>
      <c r="AU387" s="1070">
        <v>1.6</v>
      </c>
      <c r="AV387" s="1070"/>
      <c r="AW387" s="1070">
        <f t="shared" si="66"/>
        <v>30</v>
      </c>
      <c r="AX387" s="1070">
        <f>AW387*('Ввод исходных данных'!$D$83-AU387)</f>
        <v>491.99999999999994</v>
      </c>
      <c r="AY387" s="1071">
        <v>5.2</v>
      </c>
      <c r="AZ387" s="1071"/>
      <c r="BA387" s="1071">
        <f t="shared" si="67"/>
        <v>6.5</v>
      </c>
      <c r="BB387" s="1071">
        <f>BA387*('Ввод исходных данных'!$D$83-AY387)</f>
        <v>83.2</v>
      </c>
      <c r="BC387" s="1072">
        <v>8.5</v>
      </c>
      <c r="BD387" s="1072"/>
      <c r="BE387" s="1072">
        <f t="shared" si="59"/>
        <v>0</v>
      </c>
      <c r="BF387" s="1073">
        <f>BE387*('Ввод исходных данных'!$D$83-BC387)</f>
        <v>0</v>
      </c>
    </row>
    <row r="388" spans="2:58" ht="15.75" customHeight="1" x14ac:dyDescent="0.25">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5084.7999999999993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37.5</v>
      </c>
      <c r="W388" s="1065">
        <v>6.3</v>
      </c>
      <c r="X388" s="1065"/>
      <c r="Y388" s="1065">
        <f t="shared" si="63"/>
        <v>31</v>
      </c>
      <c r="Z388" s="1065">
        <f>Y388*('Ввод исходных данных'!$D$83-W388)</f>
        <v>362.7</v>
      </c>
      <c r="AA388" s="1066">
        <v>-1.7</v>
      </c>
      <c r="AB388" s="1066"/>
      <c r="AC388" s="1066">
        <f t="shared" si="64"/>
        <v>30</v>
      </c>
      <c r="AD388" s="1066">
        <f>AC388*('Ввод исходных данных'!$D$83-AA388)</f>
        <v>591</v>
      </c>
      <c r="AE388" s="1067">
        <v>-8.8000000000000007</v>
      </c>
      <c r="AF388" s="1067"/>
      <c r="AG388" s="1067">
        <v>31</v>
      </c>
      <c r="AH388" s="1067">
        <f>AG388*('Ввод исходных данных'!$D$83-AE388)</f>
        <v>830.80000000000007</v>
      </c>
      <c r="AI388" s="1068">
        <v>-12.8</v>
      </c>
      <c r="AJ388" s="1068"/>
      <c r="AK388" s="1068">
        <v>31</v>
      </c>
      <c r="AL388" s="1068">
        <f>AK388*('Ввод исходных данных'!$D$83-AI388)</f>
        <v>954.80000000000007</v>
      </c>
      <c r="AM388" s="1069">
        <v>-12</v>
      </c>
      <c r="AN388" s="1069"/>
      <c r="AO388" s="1069">
        <v>28</v>
      </c>
      <c r="AP388" s="1069">
        <f>AO388*('Ввод исходных данных'!$D$83-AM388)</f>
        <v>840</v>
      </c>
      <c r="AQ388" s="1064">
        <v>-5.8</v>
      </c>
      <c r="AR388" s="1064"/>
      <c r="AS388" s="1064">
        <f t="shared" si="65"/>
        <v>31</v>
      </c>
      <c r="AT388" s="1064">
        <f>AS388*('Ввод исходных данных'!$D$83-AQ388)</f>
        <v>737.80000000000007</v>
      </c>
      <c r="AU388" s="1070">
        <v>1.6</v>
      </c>
      <c r="AV388" s="1070"/>
      <c r="AW388" s="1070">
        <f t="shared" si="66"/>
        <v>30</v>
      </c>
      <c r="AX388" s="1070">
        <f>AW388*('Ввод исходных данных'!$D$83-AU388)</f>
        <v>491.99999999999994</v>
      </c>
      <c r="AY388" s="1071">
        <v>7</v>
      </c>
      <c r="AZ388" s="1071"/>
      <c r="BA388" s="1071">
        <f t="shared" si="67"/>
        <v>7.5</v>
      </c>
      <c r="BB388" s="1071">
        <f>BA388*('Ввод исходных данных'!$D$83-AY388)</f>
        <v>82.5</v>
      </c>
      <c r="BC388" s="1072">
        <v>11.5</v>
      </c>
      <c r="BD388" s="1072"/>
      <c r="BE388" s="1072">
        <f t="shared" si="59"/>
        <v>0</v>
      </c>
      <c r="BF388" s="1073">
        <f>BE388*('Ввод исходных данных'!$D$83-BC388)</f>
        <v>0</v>
      </c>
    </row>
    <row r="389" spans="2:58" ht="15.75" customHeight="1" x14ac:dyDescent="0.25">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5685.2</v>
      </c>
      <c r="J389" s="1059" t="str">
        <f t="shared" si="58"/>
        <v>5000-6000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97.65</v>
      </c>
      <c r="W389" s="1065">
        <v>1.5</v>
      </c>
      <c r="X389" s="1065"/>
      <c r="Y389" s="1065">
        <f t="shared" si="63"/>
        <v>31</v>
      </c>
      <c r="Z389" s="1065">
        <f>Y389*('Ввод исходных данных'!$D$83-W389)</f>
        <v>511.5</v>
      </c>
      <c r="AA389" s="1066">
        <v>-7.4</v>
      </c>
      <c r="AB389" s="1066"/>
      <c r="AC389" s="1066">
        <f t="shared" si="64"/>
        <v>30</v>
      </c>
      <c r="AD389" s="1066">
        <f>AC389*('Ввод исходных данных'!$D$83-AA389)</f>
        <v>762</v>
      </c>
      <c r="AE389" s="1067">
        <v>-13.4</v>
      </c>
      <c r="AF389" s="1067"/>
      <c r="AG389" s="1067">
        <v>31</v>
      </c>
      <c r="AH389" s="1067">
        <f>AG389*('Ввод исходных данных'!$D$83-AE389)</f>
        <v>973.4</v>
      </c>
      <c r="AI389" s="1068">
        <v>-16.3</v>
      </c>
      <c r="AJ389" s="1068"/>
      <c r="AK389" s="1068">
        <v>31</v>
      </c>
      <c r="AL389" s="1068">
        <f>AK389*('Ввод исходных данных'!$D$83-AI389)</f>
        <v>1063.3</v>
      </c>
      <c r="AM389" s="1069">
        <v>-14.3</v>
      </c>
      <c r="AN389" s="1069"/>
      <c r="AO389" s="1069">
        <v>28</v>
      </c>
      <c r="AP389" s="1069">
        <f>AO389*('Ввод исходных данных'!$D$83-AM389)</f>
        <v>904.39999999999986</v>
      </c>
      <c r="AQ389" s="1064">
        <v>-5</v>
      </c>
      <c r="AR389" s="1064"/>
      <c r="AS389" s="1064">
        <f t="shared" si="65"/>
        <v>31</v>
      </c>
      <c r="AT389" s="1064">
        <f>AS389*('Ввод исходных данных'!$D$83-AQ389)</f>
        <v>713</v>
      </c>
      <c r="AU389" s="1070">
        <v>2.9</v>
      </c>
      <c r="AV389" s="1070"/>
      <c r="AW389" s="1070">
        <f t="shared" si="66"/>
        <v>30</v>
      </c>
      <c r="AX389" s="1070">
        <f>AW389*('Ввод исходных данных'!$D$83-AU389)</f>
        <v>453</v>
      </c>
      <c r="AY389" s="1071">
        <v>9.6</v>
      </c>
      <c r="AZ389" s="1071"/>
      <c r="BA389" s="1071">
        <f t="shared" si="67"/>
        <v>10.5</v>
      </c>
      <c r="BB389" s="1071">
        <f>BA389*('Ввод исходных данных'!$D$83-AY389)</f>
        <v>88.2</v>
      </c>
      <c r="BC389" s="1072">
        <v>15.3</v>
      </c>
      <c r="BD389" s="1072"/>
      <c r="BE389" s="1072">
        <f t="shared" si="59"/>
        <v>0</v>
      </c>
      <c r="BF389" s="1073">
        <f>BE389*('Ввод исходных данных'!$D$83-BC389)</f>
        <v>0</v>
      </c>
    </row>
    <row r="390" spans="2:58" ht="15.75" customHeight="1" x14ac:dyDescent="0.25">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5171.3999999999996</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36.9</v>
      </c>
      <c r="W390" s="1065">
        <v>2.5</v>
      </c>
      <c r="X390" s="1065"/>
      <c r="Y390" s="1065">
        <f t="shared" si="63"/>
        <v>31</v>
      </c>
      <c r="Z390" s="1065">
        <f>Y390*('Ввод исходных данных'!$D$83-W390)</f>
        <v>480.5</v>
      </c>
      <c r="AA390" s="1066">
        <v>-5.6</v>
      </c>
      <c r="AB390" s="1066"/>
      <c r="AC390" s="1066">
        <f t="shared" si="64"/>
        <v>30</v>
      </c>
      <c r="AD390" s="1066">
        <f>AC390*('Ввод исходных данных'!$D$83-AA390)</f>
        <v>708</v>
      </c>
      <c r="AE390" s="1067">
        <v>-11.3</v>
      </c>
      <c r="AF390" s="1067"/>
      <c r="AG390" s="1067">
        <v>31</v>
      </c>
      <c r="AH390" s="1067">
        <f>AG390*('Ввод исходных данных'!$D$83-AE390)</f>
        <v>908.30000000000007</v>
      </c>
      <c r="AI390" s="1068">
        <v>-13.6</v>
      </c>
      <c r="AJ390" s="1068"/>
      <c r="AK390" s="1068">
        <v>31</v>
      </c>
      <c r="AL390" s="1068">
        <f>AK390*('Ввод исходных данных'!$D$83-AI390)</f>
        <v>979.6</v>
      </c>
      <c r="AM390" s="1069">
        <v>-11.8</v>
      </c>
      <c r="AN390" s="1069"/>
      <c r="AO390" s="1069">
        <v>28</v>
      </c>
      <c r="AP390" s="1069">
        <f>AO390*('Ввод исходных данных'!$D$83-AM390)</f>
        <v>834.4</v>
      </c>
      <c r="AQ390" s="1064">
        <v>-4</v>
      </c>
      <c r="AR390" s="1064"/>
      <c r="AS390" s="1064">
        <f t="shared" si="65"/>
        <v>31</v>
      </c>
      <c r="AT390" s="1064">
        <f>AS390*('Ввод исходных данных'!$D$83-AQ390)</f>
        <v>682</v>
      </c>
      <c r="AU390" s="1070">
        <v>4.3</v>
      </c>
      <c r="AV390" s="1070"/>
      <c r="AW390" s="1070">
        <f t="shared" si="66"/>
        <v>30</v>
      </c>
      <c r="AX390" s="1070">
        <f>AW390*('Ввод исходных данных'!$D$83-AU390)</f>
        <v>411</v>
      </c>
      <c r="AY390" s="1071">
        <v>11.2</v>
      </c>
      <c r="AZ390" s="1071"/>
      <c r="BA390" s="1071">
        <f t="shared" si="67"/>
        <v>4.5</v>
      </c>
      <c r="BB390" s="1071">
        <f>BA390*('Ввод исходных данных'!$D$83-AY390)</f>
        <v>30.6</v>
      </c>
      <c r="BC390" s="1072">
        <v>16.399999999999999</v>
      </c>
      <c r="BD390" s="1072"/>
      <c r="BE390" s="1072">
        <f t="shared" si="59"/>
        <v>0</v>
      </c>
      <c r="BF390" s="1073">
        <f>BE390*('Ввод исходных данных'!$D$83-BC390)</f>
        <v>0</v>
      </c>
    </row>
    <row r="391" spans="2:58" ht="15.75" customHeight="1" x14ac:dyDescent="0.25">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6272</v>
      </c>
      <c r="J391" s="1059" t="str">
        <f t="shared" si="58"/>
        <v>6000-7000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169.95000000000002</v>
      </c>
      <c r="W391" s="1065">
        <v>0.2</v>
      </c>
      <c r="X391" s="1065"/>
      <c r="Y391" s="1065">
        <f t="shared" si="63"/>
        <v>31</v>
      </c>
      <c r="Z391" s="1065">
        <f>Y391*('Ввод исходных данных'!$D$83-W391)</f>
        <v>551.80000000000007</v>
      </c>
      <c r="AA391" s="1066">
        <v>-9.5</v>
      </c>
      <c r="AB391" s="1066"/>
      <c r="AC391" s="1066">
        <f t="shared" si="64"/>
        <v>30</v>
      </c>
      <c r="AD391" s="1066">
        <f>AC391*('Ввод исходных данных'!$D$83-AA391)</f>
        <v>825</v>
      </c>
      <c r="AE391" s="1067">
        <v>-15.9</v>
      </c>
      <c r="AF391" s="1067"/>
      <c r="AG391" s="1067">
        <v>31</v>
      </c>
      <c r="AH391" s="1067">
        <f>AG391*('Ввод исходных данных'!$D$83-AE391)</f>
        <v>1050.8999999999999</v>
      </c>
      <c r="AI391" s="1068">
        <v>-19.2</v>
      </c>
      <c r="AJ391" s="1068"/>
      <c r="AK391" s="1068">
        <v>31</v>
      </c>
      <c r="AL391" s="1068">
        <f>AK391*('Ввод исходных данных'!$D$83-AI391)</f>
        <v>1153.2</v>
      </c>
      <c r="AM391" s="1069">
        <v>-16.5</v>
      </c>
      <c r="AN391" s="1069"/>
      <c r="AO391" s="1069">
        <v>28</v>
      </c>
      <c r="AP391" s="1069">
        <f>AO391*('Ввод исходных данных'!$D$83-AM391)</f>
        <v>966</v>
      </c>
      <c r="AQ391" s="1064">
        <v>-6.2</v>
      </c>
      <c r="AR391" s="1064"/>
      <c r="AS391" s="1064">
        <f t="shared" si="65"/>
        <v>31</v>
      </c>
      <c r="AT391" s="1064">
        <f>AS391*('Ввод исходных данных'!$D$83-AQ391)</f>
        <v>750.19999999999993</v>
      </c>
      <c r="AU391" s="1070">
        <v>1.2</v>
      </c>
      <c r="AV391" s="1070"/>
      <c r="AW391" s="1070">
        <f t="shared" si="66"/>
        <v>30</v>
      </c>
      <c r="AX391" s="1070">
        <f>AW391*('Ввод исходных данных'!$D$83-AU391)</f>
        <v>504</v>
      </c>
      <c r="AY391" s="1071">
        <v>8</v>
      </c>
      <c r="AZ391" s="1071"/>
      <c r="BA391" s="1071">
        <f t="shared" si="67"/>
        <v>16.5</v>
      </c>
      <c r="BB391" s="1071">
        <f>BA391*('Ввод исходных данных'!$D$83-AY391)</f>
        <v>165</v>
      </c>
      <c r="BC391" s="1072">
        <v>14.4</v>
      </c>
      <c r="BD391" s="1072"/>
      <c r="BE391" s="1072">
        <f t="shared" si="59"/>
        <v>0</v>
      </c>
      <c r="BF391" s="1073">
        <f>BE391*('Ввод исходных данных'!$D$83-BC391)</f>
        <v>0</v>
      </c>
    </row>
    <row r="392" spans="2:58" ht="15.75" customHeight="1" x14ac:dyDescent="0.25">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5527.7999999999993</v>
      </c>
      <c r="J392" s="1059" t="str">
        <f t="shared" si="58"/>
        <v>5000-6000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40.5</v>
      </c>
      <c r="W392" s="1065">
        <v>1.9</v>
      </c>
      <c r="X392" s="1065"/>
      <c r="Y392" s="1065">
        <f t="shared" si="63"/>
        <v>31</v>
      </c>
      <c r="Z392" s="1065">
        <f>Y392*('Ввод исходных данных'!$D$83-W392)</f>
        <v>499.1</v>
      </c>
      <c r="AA392" s="1066">
        <v>-6.5</v>
      </c>
      <c r="AB392" s="1066"/>
      <c r="AC392" s="1066">
        <f t="shared" si="64"/>
        <v>30</v>
      </c>
      <c r="AD392" s="1066">
        <f>AC392*('Ввод исходных данных'!$D$83-AA392)</f>
        <v>735</v>
      </c>
      <c r="AE392" s="1067">
        <v>-13.5</v>
      </c>
      <c r="AF392" s="1067"/>
      <c r="AG392" s="1067">
        <v>31</v>
      </c>
      <c r="AH392" s="1067">
        <f>AG392*('Ввод исходных данных'!$D$83-AE392)</f>
        <v>976.5</v>
      </c>
      <c r="AI392" s="1068">
        <v>-16.2</v>
      </c>
      <c r="AJ392" s="1068"/>
      <c r="AK392" s="1068">
        <v>31</v>
      </c>
      <c r="AL392" s="1068">
        <f>AK392*('Ввод исходных данных'!$D$83-AI392)</f>
        <v>1060.2</v>
      </c>
      <c r="AM392" s="1069">
        <v>-14.7</v>
      </c>
      <c r="AN392" s="1069"/>
      <c r="AO392" s="1069">
        <v>28</v>
      </c>
      <c r="AP392" s="1069">
        <f>AO392*('Ввод исходных данных'!$D$83-AM392)</f>
        <v>915.60000000000014</v>
      </c>
      <c r="AQ392" s="1064">
        <v>-7.5</v>
      </c>
      <c r="AR392" s="1064"/>
      <c r="AS392" s="1064">
        <f t="shared" si="65"/>
        <v>31</v>
      </c>
      <c r="AT392" s="1064">
        <f>AS392*('Ввод исходных данных'!$D$83-AQ392)</f>
        <v>790.5</v>
      </c>
      <c r="AU392" s="1070">
        <v>3.5</v>
      </c>
      <c r="AV392" s="1070"/>
      <c r="AW392" s="1070">
        <f t="shared" si="66"/>
        <v>30</v>
      </c>
      <c r="AX392" s="1070">
        <f>AW392*('Ввод исходных данных'!$D$83-AU392)</f>
        <v>435</v>
      </c>
      <c r="AY392" s="1071">
        <v>11.2</v>
      </c>
      <c r="AZ392" s="1071"/>
      <c r="BA392" s="1071">
        <f t="shared" si="67"/>
        <v>5</v>
      </c>
      <c r="BB392" s="1071">
        <f>BA392*('Ввод исходных данных'!$D$83-AY392)</f>
        <v>34</v>
      </c>
      <c r="BC392" s="1072">
        <v>16.2</v>
      </c>
      <c r="BD392" s="1072"/>
      <c r="BE392" s="1072">
        <f t="shared" si="59"/>
        <v>0</v>
      </c>
      <c r="BF392" s="1073">
        <f>BE392*('Ввод исходных данных'!$D$83-BC392)</f>
        <v>0</v>
      </c>
    </row>
    <row r="393" spans="2:58" ht="15.75" customHeight="1" x14ac:dyDescent="0.25">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5808.2</v>
      </c>
      <c r="J393" s="1059" t="str">
        <f t="shared" ref="J393:J456" si="69">CONCATENATE(ROUNDDOWN(I393/1000,0)*1000,"-",ROUNDUP(I393/1000,0)*1000)</f>
        <v>5000-6000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59.5</v>
      </c>
      <c r="W393" s="1065">
        <v>0.9</v>
      </c>
      <c r="X393" s="1065"/>
      <c r="Y393" s="1065">
        <f t="shared" si="63"/>
        <v>31</v>
      </c>
      <c r="Z393" s="1065">
        <f>Y393*('Ввод исходных данных'!$D$83-W393)</f>
        <v>530.1</v>
      </c>
      <c r="AA393" s="1066">
        <v>-7.7</v>
      </c>
      <c r="AB393" s="1066"/>
      <c r="AC393" s="1066">
        <f t="shared" si="64"/>
        <v>30</v>
      </c>
      <c r="AD393" s="1066">
        <f>AC393*('Ввод исходных данных'!$D$83-AA393)</f>
        <v>771</v>
      </c>
      <c r="AE393" s="1067">
        <v>-14.8</v>
      </c>
      <c r="AF393" s="1067"/>
      <c r="AG393" s="1067">
        <v>31</v>
      </c>
      <c r="AH393" s="1067">
        <f>AG393*('Ввод исходных данных'!$D$83-AE393)</f>
        <v>1016.8</v>
      </c>
      <c r="AI393" s="1068">
        <v>-18</v>
      </c>
      <c r="AJ393" s="1068"/>
      <c r="AK393" s="1068">
        <v>31</v>
      </c>
      <c r="AL393" s="1068">
        <f>AK393*('Ввод исходных данных'!$D$83-AI393)</f>
        <v>1116</v>
      </c>
      <c r="AM393" s="1069">
        <v>-16.2</v>
      </c>
      <c r="AN393" s="1069"/>
      <c r="AO393" s="1069">
        <v>28</v>
      </c>
      <c r="AP393" s="1069">
        <f>AO393*('Ввод исходных данных'!$D$83-AM393)</f>
        <v>957.60000000000014</v>
      </c>
      <c r="AQ393" s="1064">
        <v>-8.3000000000000007</v>
      </c>
      <c r="AR393" s="1064"/>
      <c r="AS393" s="1064">
        <f t="shared" si="65"/>
        <v>31</v>
      </c>
      <c r="AT393" s="1064">
        <f>AS393*('Ввод исходных данных'!$D$83-AQ393)</f>
        <v>815.30000000000007</v>
      </c>
      <c r="AU393" s="1070">
        <v>3</v>
      </c>
      <c r="AV393" s="1070"/>
      <c r="AW393" s="1070">
        <f t="shared" si="66"/>
        <v>30</v>
      </c>
      <c r="AX393" s="1070">
        <f>AW393*('Ввод исходных данных'!$D$83-AU393)</f>
        <v>450</v>
      </c>
      <c r="AY393" s="1071">
        <v>10.8</v>
      </c>
      <c r="AZ393" s="1071"/>
      <c r="BA393" s="1071">
        <f t="shared" si="67"/>
        <v>7</v>
      </c>
      <c r="BB393" s="1071">
        <f>BA393*('Ввод исходных данных'!$D$83-AY393)</f>
        <v>50.399999999999991</v>
      </c>
      <c r="BC393" s="1072">
        <v>15.7</v>
      </c>
      <c r="BD393" s="1072"/>
      <c r="BE393" s="1072">
        <f t="shared" si="59"/>
        <v>0</v>
      </c>
      <c r="BF393" s="1073">
        <f>BE393*('Ввод исходных данных'!$D$83-BC393)</f>
        <v>0</v>
      </c>
    </row>
    <row r="394" spans="2:58" ht="15.75" customHeight="1" x14ac:dyDescent="0.25">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5734</v>
      </c>
      <c r="J394" s="1059" t="str">
        <f t="shared" si="69"/>
        <v>5000-6000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106.95</v>
      </c>
      <c r="W394" s="1065">
        <v>0.9</v>
      </c>
      <c r="X394" s="1065"/>
      <c r="Y394" s="1065">
        <f t="shared" si="63"/>
        <v>31</v>
      </c>
      <c r="Z394" s="1065">
        <f>Y394*('Ввод исходных данных'!$D$83-W394)</f>
        <v>530.1</v>
      </c>
      <c r="AA394" s="1066">
        <v>-7</v>
      </c>
      <c r="AB394" s="1066"/>
      <c r="AC394" s="1066">
        <f t="shared" si="64"/>
        <v>30</v>
      </c>
      <c r="AD394" s="1066">
        <f>AC394*('Ввод исходных данных'!$D$83-AA394)</f>
        <v>750</v>
      </c>
      <c r="AE394" s="1067">
        <v>-13.6</v>
      </c>
      <c r="AF394" s="1067"/>
      <c r="AG394" s="1067">
        <v>31</v>
      </c>
      <c r="AH394" s="1067">
        <f>AG394*('Ввод исходных данных'!$D$83-AE394)</f>
        <v>979.6</v>
      </c>
      <c r="AI394" s="1068">
        <v>-16.100000000000001</v>
      </c>
      <c r="AJ394" s="1068"/>
      <c r="AK394" s="1068">
        <v>31</v>
      </c>
      <c r="AL394" s="1068">
        <f>AK394*('Ввод исходных данных'!$D$83-AI394)</f>
        <v>1057.1000000000001</v>
      </c>
      <c r="AM394" s="1069">
        <v>-14.4</v>
      </c>
      <c r="AN394" s="1069"/>
      <c r="AO394" s="1069">
        <v>28</v>
      </c>
      <c r="AP394" s="1069">
        <f>AO394*('Ввод исходных данных'!$D$83-AM394)</f>
        <v>907.19999999999993</v>
      </c>
      <c r="AQ394" s="1064">
        <v>-7.4</v>
      </c>
      <c r="AR394" s="1064"/>
      <c r="AS394" s="1064">
        <f t="shared" si="65"/>
        <v>31</v>
      </c>
      <c r="AT394" s="1064">
        <f>AS394*('Ввод исходных данных'!$D$83-AQ394)</f>
        <v>787.4</v>
      </c>
      <c r="AU394" s="1070">
        <v>2.5</v>
      </c>
      <c r="AV394" s="1070"/>
      <c r="AW394" s="1070">
        <f t="shared" si="66"/>
        <v>30</v>
      </c>
      <c r="AX394" s="1070">
        <f>AW394*('Ввод исходных данных'!$D$83-AU394)</f>
        <v>465</v>
      </c>
      <c r="AY394" s="1071">
        <v>9.6</v>
      </c>
      <c r="AZ394" s="1071"/>
      <c r="BA394" s="1071">
        <f t="shared" si="67"/>
        <v>11.5</v>
      </c>
      <c r="BB394" s="1071">
        <f>BA394*('Ввод исходных данных'!$D$83-AY394)</f>
        <v>96.600000000000009</v>
      </c>
      <c r="BC394" s="1072">
        <v>14.9</v>
      </c>
      <c r="BD394" s="1072"/>
      <c r="BE394" s="1072">
        <f t="shared" ref="BE394:BE457" si="70">IF((E394-273)&gt;0,IF((E394-273)/2&gt;30,30,(E394-273)/2),0)</f>
        <v>0</v>
      </c>
      <c r="BF394" s="1073">
        <f>BE394*('Ввод исходных данных'!$D$83-BC394)</f>
        <v>0</v>
      </c>
    </row>
    <row r="395" spans="2:58" ht="15.75" customHeight="1" x14ac:dyDescent="0.25">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4513.6000000000004</v>
      </c>
      <c r="J395" s="1059" t="str">
        <f t="shared" si="69"/>
        <v>4000-5000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19.5</v>
      </c>
      <c r="W395" s="1065">
        <v>4.0999999999999996</v>
      </c>
      <c r="X395" s="1065"/>
      <c r="Y395" s="1065">
        <f t="shared" ref="Y395:Y458" si="74">IF((E395-151)&gt;0,IF((E395-151)/2&gt;31,31,(E395-151)/2),0)</f>
        <v>31</v>
      </c>
      <c r="Z395" s="1065">
        <f>Y395*('Ввод исходных данных'!$D$83-W395)</f>
        <v>430.90000000000003</v>
      </c>
      <c r="AA395" s="1066">
        <v>-1.9</v>
      </c>
      <c r="AB395" s="1066"/>
      <c r="AC395" s="1066">
        <f t="shared" ref="AC395:AC458" si="75">IF((E395-90)/2&gt;30,30,(E395-90)/2)</f>
        <v>30</v>
      </c>
      <c r="AD395" s="1066">
        <f>AC395*('Ввод исходных данных'!$D$83-AA395)</f>
        <v>597</v>
      </c>
      <c r="AE395" s="1067">
        <v>-6.4</v>
      </c>
      <c r="AF395" s="1067"/>
      <c r="AG395" s="1067">
        <v>31</v>
      </c>
      <c r="AH395" s="1067">
        <f>AG395*('Ввод исходных данных'!$D$83-AE395)</f>
        <v>756.4</v>
      </c>
      <c r="AI395" s="1068">
        <v>-9.8000000000000007</v>
      </c>
      <c r="AJ395" s="1068"/>
      <c r="AK395" s="1068">
        <v>31</v>
      </c>
      <c r="AL395" s="1068">
        <f>AK395*('Ввод исходных данных'!$D$83-AI395)</f>
        <v>861.80000000000007</v>
      </c>
      <c r="AM395" s="1069">
        <v>-9</v>
      </c>
      <c r="AN395" s="1069"/>
      <c r="AO395" s="1069">
        <v>28</v>
      </c>
      <c r="AP395" s="1069">
        <f>AO395*('Ввод исходных данных'!$D$83-AM395)</f>
        <v>756</v>
      </c>
      <c r="AQ395" s="1064">
        <v>-4.3</v>
      </c>
      <c r="AR395" s="1064"/>
      <c r="AS395" s="1064">
        <f t="shared" ref="AS395:AS458" si="76">IF((E395-90)/2&gt;31,31,(E395-90)/2)</f>
        <v>31</v>
      </c>
      <c r="AT395" s="1064">
        <f>AS395*('Ввод исходных данных'!$D$83-AQ395)</f>
        <v>691.30000000000007</v>
      </c>
      <c r="AU395" s="1070">
        <v>4.3</v>
      </c>
      <c r="AV395" s="1070"/>
      <c r="AW395" s="1070">
        <f t="shared" ref="AW395:AW458" si="77">IF((E395-151)&gt;0,IF((E395-151)/2&gt;30,30,(E395-151)/2),0)</f>
        <v>30</v>
      </c>
      <c r="AX395" s="1070">
        <f>AW395*('Ввод исходных данных'!$D$83-AU395)</f>
        <v>411</v>
      </c>
      <c r="AY395" s="1071">
        <v>11.3</v>
      </c>
      <c r="AZ395" s="1071"/>
      <c r="BA395" s="1071">
        <f t="shared" ref="BA395:BA458" si="78">IF((E395-212)&gt;0,IF((E395-212)/2&gt;31,31,(E395-212)/2),0)</f>
        <v>2.5</v>
      </c>
      <c r="BB395" s="1071">
        <f>BA395*('Ввод исходных данных'!$D$83-AY395)</f>
        <v>16.75</v>
      </c>
      <c r="BC395" s="1072">
        <v>15.4</v>
      </c>
      <c r="BD395" s="1072"/>
      <c r="BE395" s="1072">
        <f t="shared" si="70"/>
        <v>0</v>
      </c>
      <c r="BF395" s="1073">
        <f>BE395*('Ввод исходных данных'!$D$83-BC395)</f>
        <v>0</v>
      </c>
    </row>
    <row r="396" spans="2:58" ht="15.75" customHeight="1" x14ac:dyDescent="0.25">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4180</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377</v>
      </c>
      <c r="AA396" s="1066">
        <v>-0.8</v>
      </c>
      <c r="AB396" s="1066"/>
      <c r="AC396" s="1066">
        <f t="shared" si="75"/>
        <v>30</v>
      </c>
      <c r="AD396" s="1066">
        <f>AC396*('Ввод исходных данных'!$D$83-AA396)</f>
        <v>564</v>
      </c>
      <c r="AE396" s="1067">
        <v>-5.2</v>
      </c>
      <c r="AF396" s="1067"/>
      <c r="AG396" s="1067">
        <v>31</v>
      </c>
      <c r="AH396" s="1067">
        <f>AG396*('Ввод исходных данных'!$D$83-AE396)</f>
        <v>719.19999999999993</v>
      </c>
      <c r="AI396" s="1068">
        <v>-7.5</v>
      </c>
      <c r="AJ396" s="1068"/>
      <c r="AK396" s="1068">
        <v>31</v>
      </c>
      <c r="AL396" s="1068">
        <f>AK396*('Ввод исходных данных'!$D$83-AI396)</f>
        <v>790.5</v>
      </c>
      <c r="AM396" s="1069">
        <v>-6.9</v>
      </c>
      <c r="AN396" s="1069"/>
      <c r="AO396" s="1069">
        <v>28</v>
      </c>
      <c r="AP396" s="1069">
        <f>AO396*('Ввод исходных данных'!$D$83-AM396)</f>
        <v>697.19999999999993</v>
      </c>
      <c r="AQ396" s="1064">
        <v>-1.8</v>
      </c>
      <c r="AR396" s="1064"/>
      <c r="AS396" s="1064">
        <f t="shared" si="76"/>
        <v>31</v>
      </c>
      <c r="AT396" s="1064">
        <f>AS396*('Ввод исходных данных'!$D$83-AQ396)</f>
        <v>613.80000000000007</v>
      </c>
      <c r="AU396" s="1070">
        <v>5.9</v>
      </c>
      <c r="AV396" s="1070"/>
      <c r="AW396" s="1070">
        <f t="shared" si="77"/>
        <v>29</v>
      </c>
      <c r="AX396" s="1070">
        <f>AW396*('Ввод исходных данных'!$D$83-AU396)</f>
        <v>350.9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25">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2917.7</v>
      </c>
      <c r="J397" s="1059" t="str">
        <f t="shared" si="69"/>
        <v>2000-3000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47.400000000000006</v>
      </c>
      <c r="AA397" s="1066">
        <v>4</v>
      </c>
      <c r="AB397" s="1066"/>
      <c r="AC397" s="1066">
        <f t="shared" si="75"/>
        <v>30</v>
      </c>
      <c r="AD397" s="1066">
        <f>AC397*('Ввод исходных данных'!$D$83-AA397)</f>
        <v>420</v>
      </c>
      <c r="AE397" s="1067">
        <v>-1.3</v>
      </c>
      <c r="AF397" s="1067"/>
      <c r="AG397" s="1067">
        <v>31</v>
      </c>
      <c r="AH397" s="1067">
        <f>AG397*('Ввод исходных данных'!$D$83-AE397)</f>
        <v>598.30000000000007</v>
      </c>
      <c r="AI397" s="1068">
        <v>-4.9000000000000004</v>
      </c>
      <c r="AJ397" s="1068"/>
      <c r="AK397" s="1068">
        <v>31</v>
      </c>
      <c r="AL397" s="1068">
        <f>AK397*('Ввод исходных данных'!$D$83-AI397)</f>
        <v>709.9</v>
      </c>
      <c r="AM397" s="1069">
        <v>-3.6</v>
      </c>
      <c r="AN397" s="1069"/>
      <c r="AO397" s="1069">
        <v>28</v>
      </c>
      <c r="AP397" s="1069">
        <f>AO397*('Ввод исходных данных'!$D$83-AM397)</f>
        <v>604.80000000000007</v>
      </c>
      <c r="AQ397" s="1064">
        <v>1.6</v>
      </c>
      <c r="AR397" s="1064"/>
      <c r="AS397" s="1064">
        <f t="shared" si="76"/>
        <v>31</v>
      </c>
      <c r="AT397" s="1064">
        <f>AS397*('Ввод исходных данных'!$D$83-AQ397)</f>
        <v>508.4</v>
      </c>
      <c r="AU397" s="1070">
        <v>10.3</v>
      </c>
      <c r="AV397" s="1070"/>
      <c r="AW397" s="1070">
        <f t="shared" si="77"/>
        <v>6</v>
      </c>
      <c r="AX397" s="1070">
        <f>AW397*('Ввод исходных данных'!$D$83-AU397)</f>
        <v>46.199999999999996</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25">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3150.4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135.79999999999998</v>
      </c>
      <c r="AA398" s="1066">
        <v>3.2</v>
      </c>
      <c r="AB398" s="1066"/>
      <c r="AC398" s="1066">
        <f t="shared" si="75"/>
        <v>30</v>
      </c>
      <c r="AD398" s="1066">
        <f>AC398*('Ввод исходных данных'!$D$83-AA398)</f>
        <v>444</v>
      </c>
      <c r="AE398" s="1067">
        <v>-1.1000000000000001</v>
      </c>
      <c r="AF398" s="1067"/>
      <c r="AG398" s="1067">
        <v>31</v>
      </c>
      <c r="AH398" s="1067">
        <f>AG398*('Ввод исходных данных'!$D$83-AE398)</f>
        <v>592.1</v>
      </c>
      <c r="AI398" s="1068">
        <v>-3.3</v>
      </c>
      <c r="AJ398" s="1068"/>
      <c r="AK398" s="1068">
        <v>31</v>
      </c>
      <c r="AL398" s="1068">
        <f>AK398*('Ввод исходных данных'!$D$83-AI398)</f>
        <v>660.30000000000007</v>
      </c>
      <c r="AM398" s="1069">
        <v>-2.4</v>
      </c>
      <c r="AN398" s="1069"/>
      <c r="AO398" s="1069">
        <v>28</v>
      </c>
      <c r="AP398" s="1069">
        <f>AO398*('Ввод исходных данных'!$D$83-AM398)</f>
        <v>571.19999999999993</v>
      </c>
      <c r="AQ398" s="1064">
        <v>1.5</v>
      </c>
      <c r="AR398" s="1064"/>
      <c r="AS398" s="1064">
        <f t="shared" si="76"/>
        <v>31</v>
      </c>
      <c r="AT398" s="1064">
        <f>AS398*('Ввод исходных данных'!$D$83-AQ398)</f>
        <v>511.5</v>
      </c>
      <c r="AU398" s="1070">
        <v>8</v>
      </c>
      <c r="AV398" s="1070"/>
      <c r="AW398" s="1070">
        <f t="shared" si="77"/>
        <v>14</v>
      </c>
      <c r="AX398" s="1070">
        <f>AW398*('Ввод исходных данных'!$D$83-AU398)</f>
        <v>140</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25">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3007.2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69.699999999999989</v>
      </c>
      <c r="AA399" s="1066">
        <v>3.9</v>
      </c>
      <c r="AB399" s="1066"/>
      <c r="AC399" s="1066">
        <f t="shared" si="75"/>
        <v>30</v>
      </c>
      <c r="AD399" s="1066">
        <f>AC399*('Ввод исходных данных'!$D$83-AA399)</f>
        <v>423</v>
      </c>
      <c r="AE399" s="1067">
        <v>-1.5</v>
      </c>
      <c r="AF399" s="1067"/>
      <c r="AG399" s="1067">
        <v>31</v>
      </c>
      <c r="AH399" s="1067">
        <f>AG399*('Ввод исходных данных'!$D$83-AE399)</f>
        <v>604.5</v>
      </c>
      <c r="AI399" s="1068">
        <v>-4.5</v>
      </c>
      <c r="AJ399" s="1068"/>
      <c r="AK399" s="1068">
        <v>31</v>
      </c>
      <c r="AL399" s="1068">
        <f>AK399*('Ввод исходных данных'!$D$83-AI399)</f>
        <v>697.5</v>
      </c>
      <c r="AM399" s="1069">
        <v>-3.3</v>
      </c>
      <c r="AN399" s="1069"/>
      <c r="AO399" s="1069">
        <v>28</v>
      </c>
      <c r="AP399" s="1069">
        <f>AO399*('Ввод исходных данных'!$D$83-AM399)</f>
        <v>596.4</v>
      </c>
      <c r="AQ399" s="1064">
        <v>1.8</v>
      </c>
      <c r="AR399" s="1064"/>
      <c r="AS399" s="1064">
        <f t="shared" si="76"/>
        <v>31</v>
      </c>
      <c r="AT399" s="1064">
        <f>AS399*('Ввод исходных данных'!$D$83-AQ399)</f>
        <v>502.2</v>
      </c>
      <c r="AU399" s="1070">
        <v>9.6999999999999993</v>
      </c>
      <c r="AV399" s="1070"/>
      <c r="AW399" s="1070">
        <f t="shared" si="77"/>
        <v>8.5</v>
      </c>
      <c r="AX399" s="1070">
        <f>AW399*('Ввод исходных данных'!$D$83-AU399)</f>
        <v>70.550000000000011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25">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3115</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109.19999999999999</v>
      </c>
      <c r="AA400" s="1066">
        <v>3.2</v>
      </c>
      <c r="AB400" s="1066"/>
      <c r="AC400" s="1066">
        <f t="shared" si="75"/>
        <v>30</v>
      </c>
      <c r="AD400" s="1066">
        <f>AC400*('Ввод исходных данных'!$D$83-AA400)</f>
        <v>444</v>
      </c>
      <c r="AE400" s="1067">
        <v>-1.4</v>
      </c>
      <c r="AF400" s="1067"/>
      <c r="AG400" s="1067">
        <v>31</v>
      </c>
      <c r="AH400" s="1067">
        <f>AG400*('Ввод исходных данных'!$D$83-AE400)</f>
        <v>601.4</v>
      </c>
      <c r="AI400" s="1068">
        <v>-4.2</v>
      </c>
      <c r="AJ400" s="1068"/>
      <c r="AK400" s="1068">
        <v>31</v>
      </c>
      <c r="AL400" s="1068">
        <f>AK400*('Ввод исходных данных'!$D$83-AI400)</f>
        <v>688.19999999999993</v>
      </c>
      <c r="AM400" s="1069">
        <v>-3</v>
      </c>
      <c r="AN400" s="1069"/>
      <c r="AO400" s="1069">
        <v>28</v>
      </c>
      <c r="AP400" s="1069">
        <f>AO400*('Ввод исходных данных'!$D$83-AM400)</f>
        <v>588</v>
      </c>
      <c r="AQ400" s="1064">
        <v>1.1000000000000001</v>
      </c>
      <c r="AR400" s="1064"/>
      <c r="AS400" s="1064">
        <f t="shared" si="76"/>
        <v>31</v>
      </c>
      <c r="AT400" s="1064">
        <f>AS400*('Ввод исходных данных'!$D$83-AQ400)</f>
        <v>523.9</v>
      </c>
      <c r="AU400" s="1070">
        <v>8.9</v>
      </c>
      <c r="AV400" s="1070"/>
      <c r="AW400" s="1070">
        <f t="shared" si="77"/>
        <v>12</v>
      </c>
      <c r="AX400" s="1070">
        <f>AW400*('Ввод исходных данных'!$D$83-AU400)</f>
        <v>109.19999999999999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25">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2940</v>
      </c>
      <c r="J401" s="1059" t="str">
        <f t="shared" si="69"/>
        <v>2000-3000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69.699999999999989</v>
      </c>
      <c r="AA401" s="1066">
        <v>3.7</v>
      </c>
      <c r="AB401" s="1066"/>
      <c r="AC401" s="1066">
        <f t="shared" si="75"/>
        <v>30</v>
      </c>
      <c r="AD401" s="1066">
        <f>AC401*('Ввод исходных данных'!$D$83-AA401)</f>
        <v>429</v>
      </c>
      <c r="AE401" s="1067">
        <v>-0.7</v>
      </c>
      <c r="AF401" s="1067"/>
      <c r="AG401" s="1067">
        <v>31</v>
      </c>
      <c r="AH401" s="1067">
        <f>AG401*('Ввод исходных данных'!$D$83-AE401)</f>
        <v>579.69999999999993</v>
      </c>
      <c r="AI401" s="1068">
        <v>-2.9</v>
      </c>
      <c r="AJ401" s="1068"/>
      <c r="AK401" s="1068">
        <v>31</v>
      </c>
      <c r="AL401" s="1068">
        <f>AK401*('Ввод исходных данных'!$D$83-AI401)</f>
        <v>647.9</v>
      </c>
      <c r="AM401" s="1069">
        <v>-2.4</v>
      </c>
      <c r="AN401" s="1069"/>
      <c r="AO401" s="1069">
        <v>28</v>
      </c>
      <c r="AP401" s="1069">
        <f>AO401*('Ввод исходных данных'!$D$83-AM401)</f>
        <v>571.19999999999993</v>
      </c>
      <c r="AQ401" s="1064">
        <v>2.2000000000000002</v>
      </c>
      <c r="AR401" s="1064"/>
      <c r="AS401" s="1064">
        <f t="shared" si="76"/>
        <v>31</v>
      </c>
      <c r="AT401" s="1064">
        <f>AS401*('Ввод исходных данных'!$D$83-AQ401)</f>
        <v>489.8</v>
      </c>
      <c r="AU401" s="1070">
        <v>9.8000000000000007</v>
      </c>
      <c r="AV401" s="1070"/>
      <c r="AW401" s="1070">
        <f t="shared" si="77"/>
        <v>8.5</v>
      </c>
      <c r="AX401" s="1070">
        <f>AW401*('Ввод исходных данных'!$D$83-AU401)</f>
        <v>69.699999999999989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25">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4361.7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320</v>
      </c>
      <c r="AA402" s="1066">
        <v>-1.4</v>
      </c>
      <c r="AB402" s="1066"/>
      <c r="AC402" s="1066">
        <f t="shared" si="75"/>
        <v>30</v>
      </c>
      <c r="AD402" s="1066">
        <f>AC402*('Ввод исходных данных'!$D$83-AA402)</f>
        <v>582</v>
      </c>
      <c r="AE402" s="1067">
        <v>-7.3</v>
      </c>
      <c r="AF402" s="1067"/>
      <c r="AG402" s="1067">
        <v>31</v>
      </c>
      <c r="AH402" s="1067">
        <f>AG402*('Ввод исходных данных'!$D$83-AE402)</f>
        <v>784.30000000000007</v>
      </c>
      <c r="AI402" s="1068">
        <v>-10.9</v>
      </c>
      <c r="AJ402" s="1068"/>
      <c r="AK402" s="1068">
        <v>31</v>
      </c>
      <c r="AL402" s="1068">
        <f>AK402*('Ввод исходных данных'!$D$83-AI402)</f>
        <v>895.9</v>
      </c>
      <c r="AM402" s="1069">
        <v>-10.3</v>
      </c>
      <c r="AN402" s="1069"/>
      <c r="AO402" s="1069">
        <v>28</v>
      </c>
      <c r="AP402" s="1069">
        <f>AO402*('Ввод исходных данных'!$D$83-AM402)</f>
        <v>792.4</v>
      </c>
      <c r="AQ402" s="1064">
        <v>-4.5999999999999996</v>
      </c>
      <c r="AR402" s="1064"/>
      <c r="AS402" s="1064">
        <f t="shared" si="76"/>
        <v>31</v>
      </c>
      <c r="AT402" s="1064">
        <f>AS402*('Ввод исходных данных'!$D$83-AQ402)</f>
        <v>700.6</v>
      </c>
      <c r="AU402" s="1070">
        <v>6</v>
      </c>
      <c r="AV402" s="1070"/>
      <c r="AW402" s="1070">
        <f t="shared" si="77"/>
        <v>25</v>
      </c>
      <c r="AX402" s="1070">
        <f>AW402*('Ввод исходных данных'!$D$83-AU402)</f>
        <v>300</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25">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4750.7999999999993</v>
      </c>
      <c r="J403" s="1059" t="str">
        <f t="shared" si="69"/>
        <v>4000-5000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41</v>
      </c>
      <c r="W403" s="1065">
        <v>3.6</v>
      </c>
      <c r="X403" s="1065"/>
      <c r="Y403" s="1065">
        <f t="shared" si="74"/>
        <v>31</v>
      </c>
      <c r="Z403" s="1065">
        <f>Y403*('Ввод исходных данных'!$D$83-W403)</f>
        <v>446.40000000000003</v>
      </c>
      <c r="AA403" s="1066">
        <v>-2.2999999999999998</v>
      </c>
      <c r="AB403" s="1066"/>
      <c r="AC403" s="1066">
        <f t="shared" si="75"/>
        <v>30</v>
      </c>
      <c r="AD403" s="1066">
        <f>AC403*('Ввод исходных данных'!$D$83-AA403)</f>
        <v>609</v>
      </c>
      <c r="AE403" s="1067">
        <v>-7.7</v>
      </c>
      <c r="AF403" s="1067"/>
      <c r="AG403" s="1067">
        <v>31</v>
      </c>
      <c r="AH403" s="1067">
        <f>AG403*('Ввод исходных данных'!$D$83-AE403)</f>
        <v>796.69999999999993</v>
      </c>
      <c r="AI403" s="1068">
        <v>-10.7</v>
      </c>
      <c r="AJ403" s="1068"/>
      <c r="AK403" s="1068">
        <v>31</v>
      </c>
      <c r="AL403" s="1068">
        <f>AK403*('Ввод исходных данных'!$D$83-AI403)</f>
        <v>889.69999999999993</v>
      </c>
      <c r="AM403" s="1069">
        <v>-10.199999999999999</v>
      </c>
      <c r="AN403" s="1069"/>
      <c r="AO403" s="1069">
        <v>28</v>
      </c>
      <c r="AP403" s="1069">
        <f>AO403*('Ввод исходных данных'!$D$83-AM403)</f>
        <v>789.6</v>
      </c>
      <c r="AQ403" s="1064">
        <v>-5.2</v>
      </c>
      <c r="AR403" s="1064"/>
      <c r="AS403" s="1064">
        <f t="shared" si="76"/>
        <v>31</v>
      </c>
      <c r="AT403" s="1064">
        <f>AS403*('Ввод исходных данных'!$D$83-AQ403)</f>
        <v>719.19999999999993</v>
      </c>
      <c r="AU403" s="1070">
        <v>3.2</v>
      </c>
      <c r="AV403" s="1070"/>
      <c r="AW403" s="1070">
        <f t="shared" si="77"/>
        <v>30</v>
      </c>
      <c r="AX403" s="1070">
        <f>AW403*('Ввод исходных данных'!$D$83-AU403)</f>
        <v>444</v>
      </c>
      <c r="AY403" s="1071">
        <v>10.8</v>
      </c>
      <c r="AZ403" s="1071"/>
      <c r="BA403" s="1071">
        <f t="shared" si="78"/>
        <v>5</v>
      </c>
      <c r="BB403" s="1071">
        <f>BA403*('Ввод исходных данных'!$D$83-AY403)</f>
        <v>36</v>
      </c>
      <c r="BC403" s="1072">
        <v>15.2</v>
      </c>
      <c r="BD403" s="1072"/>
      <c r="BE403" s="1072">
        <f t="shared" si="70"/>
        <v>0</v>
      </c>
      <c r="BF403" s="1073">
        <f>BE403*('Ввод исходных данных'!$D$83-BC403)</f>
        <v>0</v>
      </c>
    </row>
    <row r="404" spans="2:58" ht="15.75" customHeight="1" x14ac:dyDescent="0.25">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4578</v>
      </c>
      <c r="J404" s="1059" t="str">
        <f t="shared" si="69"/>
        <v>4000-5000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23.099999999999998</v>
      </c>
      <c r="W404" s="1065">
        <v>4.0999999999999996</v>
      </c>
      <c r="X404" s="1065"/>
      <c r="Y404" s="1065">
        <f t="shared" si="74"/>
        <v>31</v>
      </c>
      <c r="Z404" s="1065">
        <f>Y404*('Ввод исходных данных'!$D$83-W404)</f>
        <v>430.90000000000003</v>
      </c>
      <c r="AA404" s="1066">
        <v>-1.4</v>
      </c>
      <c r="AB404" s="1066"/>
      <c r="AC404" s="1066">
        <f t="shared" si="75"/>
        <v>30</v>
      </c>
      <c r="AD404" s="1066">
        <f>AC404*('Ввод исходных данных'!$D$83-AA404)</f>
        <v>582</v>
      </c>
      <c r="AE404" s="1067">
        <v>-6.3</v>
      </c>
      <c r="AF404" s="1067"/>
      <c r="AG404" s="1067">
        <v>31</v>
      </c>
      <c r="AH404" s="1067">
        <f>AG404*('Ввод исходных данных'!$D$83-AE404)</f>
        <v>753.30000000000007</v>
      </c>
      <c r="AI404" s="1068">
        <v>-10</v>
      </c>
      <c r="AJ404" s="1068"/>
      <c r="AK404" s="1068">
        <v>31</v>
      </c>
      <c r="AL404" s="1068">
        <f>AK404*('Ввод исходных данных'!$D$83-AI404)</f>
        <v>868</v>
      </c>
      <c r="AM404" s="1069">
        <v>-8.9</v>
      </c>
      <c r="AN404" s="1069"/>
      <c r="AO404" s="1069">
        <v>28</v>
      </c>
      <c r="AP404" s="1069">
        <f>AO404*('Ввод исходных данных'!$D$83-AM404)</f>
        <v>753.19999999999993</v>
      </c>
      <c r="AQ404" s="1064">
        <v>-4.2</v>
      </c>
      <c r="AR404" s="1064"/>
      <c r="AS404" s="1064">
        <f t="shared" si="76"/>
        <v>31</v>
      </c>
      <c r="AT404" s="1064">
        <f>AS404*('Ввод исходных данных'!$D$83-AQ404)</f>
        <v>688.19999999999993</v>
      </c>
      <c r="AU404" s="1070">
        <v>4.0999999999999996</v>
      </c>
      <c r="AV404" s="1070"/>
      <c r="AW404" s="1070">
        <f t="shared" si="77"/>
        <v>30</v>
      </c>
      <c r="AX404" s="1070">
        <f>AW404*('Ввод исходных данных'!$D$83-AU404)</f>
        <v>417</v>
      </c>
      <c r="AY404" s="1071">
        <v>11.2</v>
      </c>
      <c r="AZ404" s="1071"/>
      <c r="BA404" s="1071">
        <f t="shared" si="78"/>
        <v>3</v>
      </c>
      <c r="BB404" s="1071">
        <f>BA404*('Ввод исходных данных'!$D$83-AY404)</f>
        <v>20.400000000000002</v>
      </c>
      <c r="BC404" s="1072">
        <v>15.6</v>
      </c>
      <c r="BD404" s="1072"/>
      <c r="BE404" s="1072">
        <f t="shared" si="70"/>
        <v>0</v>
      </c>
      <c r="BF404" s="1073">
        <f>BE404*('Ввод исходных данных'!$D$83-BC404)</f>
        <v>0</v>
      </c>
    </row>
    <row r="405" spans="2:58" ht="15.75" customHeight="1" x14ac:dyDescent="0.25">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4491.8999999999996</v>
      </c>
      <c r="J405" s="1059" t="str">
        <f t="shared" si="69"/>
        <v>4000-5000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19.5</v>
      </c>
      <c r="W405" s="1065">
        <v>4</v>
      </c>
      <c r="X405" s="1065"/>
      <c r="Y405" s="1065">
        <f t="shared" si="74"/>
        <v>31</v>
      </c>
      <c r="Z405" s="1065">
        <f>Y405*('Ввод исходных данных'!$D$83-W405)</f>
        <v>434</v>
      </c>
      <c r="AA405" s="1066">
        <v>-1.8</v>
      </c>
      <c r="AB405" s="1066"/>
      <c r="AC405" s="1066">
        <f t="shared" si="75"/>
        <v>30</v>
      </c>
      <c r="AD405" s="1066">
        <f>AC405*('Ввод исходных данных'!$D$83-AA405)</f>
        <v>594</v>
      </c>
      <c r="AE405" s="1067">
        <v>-6.6</v>
      </c>
      <c r="AF405" s="1067"/>
      <c r="AG405" s="1067">
        <v>31</v>
      </c>
      <c r="AH405" s="1067">
        <f>AG405*('Ввод исходных данных'!$D$83-AE405)</f>
        <v>762.6</v>
      </c>
      <c r="AI405" s="1068">
        <v>-10.5</v>
      </c>
      <c r="AJ405" s="1068"/>
      <c r="AK405" s="1068">
        <v>31</v>
      </c>
      <c r="AL405" s="1068">
        <f>AK405*('Ввод исходных данных'!$D$83-AI405)</f>
        <v>883.5</v>
      </c>
      <c r="AM405" s="1069">
        <v>-9.4</v>
      </c>
      <c r="AN405" s="1069"/>
      <c r="AO405" s="1069">
        <v>28</v>
      </c>
      <c r="AP405" s="1069">
        <f>AO405*('Ввод исходных данных'!$D$83-AM405)</f>
        <v>767.19999999999993</v>
      </c>
      <c r="AQ405" s="1064">
        <v>-4.5999999999999996</v>
      </c>
      <c r="AR405" s="1064"/>
      <c r="AS405" s="1064">
        <f t="shared" si="76"/>
        <v>31</v>
      </c>
      <c r="AT405" s="1064">
        <f>AS405*('Ввод исходных данных'!$D$83-AQ405)</f>
        <v>700.6</v>
      </c>
      <c r="AU405" s="1070">
        <v>4.0999999999999996</v>
      </c>
      <c r="AV405" s="1070"/>
      <c r="AW405" s="1070">
        <f t="shared" si="77"/>
        <v>30</v>
      </c>
      <c r="AX405" s="1070">
        <f>AW405*('Ввод исходных данных'!$D$83-AU405)</f>
        <v>417</v>
      </c>
      <c r="AY405" s="1071">
        <v>11.2</v>
      </c>
      <c r="AZ405" s="1071"/>
      <c r="BA405" s="1071">
        <f t="shared" si="78"/>
        <v>2.5</v>
      </c>
      <c r="BB405" s="1071">
        <f>BA405*('Ввод исходных данных'!$D$83-AY405)</f>
        <v>17</v>
      </c>
      <c r="BC405" s="1072">
        <v>15.7</v>
      </c>
      <c r="BD405" s="1072"/>
      <c r="BE405" s="1072">
        <f t="shared" si="70"/>
        <v>0</v>
      </c>
      <c r="BF405" s="1073">
        <f>BE405*('Ввод исходных данных'!$D$83-BC405)</f>
        <v>0</v>
      </c>
    </row>
    <row r="406" spans="2:58" ht="15.75" customHeight="1" x14ac:dyDescent="0.25">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6930</v>
      </c>
      <c r="J406" s="1059" t="str">
        <f t="shared" si="69"/>
        <v>6000-7000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208</v>
      </c>
      <c r="W406" s="1065">
        <v>-0.9</v>
      </c>
      <c r="X406" s="1065"/>
      <c r="Y406" s="1065">
        <f t="shared" si="74"/>
        <v>31</v>
      </c>
      <c r="Z406" s="1065">
        <f>Y406*('Ввод исходных данных'!$D$83-W406)</f>
        <v>585.9</v>
      </c>
      <c r="AA406" s="1066">
        <v>-11.6</v>
      </c>
      <c r="AB406" s="1066"/>
      <c r="AC406" s="1066">
        <f t="shared" si="75"/>
        <v>30</v>
      </c>
      <c r="AD406" s="1066">
        <f>AC406*('Ввод исходных данных'!$D$83-AA406)</f>
        <v>888</v>
      </c>
      <c r="AE406" s="1067">
        <v>-18.3</v>
      </c>
      <c r="AF406" s="1067"/>
      <c r="AG406" s="1067">
        <v>31</v>
      </c>
      <c r="AH406" s="1067">
        <f>AG406*('Ввод исходных данных'!$D$83-AE406)</f>
        <v>1125.3</v>
      </c>
      <c r="AI406" s="1068">
        <v>-21.2</v>
      </c>
      <c r="AJ406" s="1068"/>
      <c r="AK406" s="1068">
        <v>31</v>
      </c>
      <c r="AL406" s="1068">
        <f>AK406*('Ввод исходных данных'!$D$83-AI406)</f>
        <v>1215.2</v>
      </c>
      <c r="AM406" s="1069">
        <v>-19.3</v>
      </c>
      <c r="AN406" s="1069"/>
      <c r="AO406" s="1069">
        <v>28</v>
      </c>
      <c r="AP406" s="1069">
        <f>AO406*('Ввод исходных данных'!$D$83-AM406)</f>
        <v>1044.3999999999999</v>
      </c>
      <c r="AQ406" s="1064">
        <v>-9.9</v>
      </c>
      <c r="AR406" s="1064"/>
      <c r="AS406" s="1064">
        <f t="shared" si="76"/>
        <v>31</v>
      </c>
      <c r="AT406" s="1064">
        <f>AS406*('Ввод исходных данных'!$D$83-AQ406)</f>
        <v>864.9</v>
      </c>
      <c r="AU406" s="1070">
        <v>-2.2999999999999998</v>
      </c>
      <c r="AV406" s="1070"/>
      <c r="AW406" s="1070">
        <f t="shared" si="77"/>
        <v>30</v>
      </c>
      <c r="AX406" s="1070">
        <f>AW406*('Ввод исходных данных'!$D$83-AU406)</f>
        <v>609</v>
      </c>
      <c r="AY406" s="1071">
        <v>6</v>
      </c>
      <c r="AZ406" s="1071"/>
      <c r="BA406" s="1071">
        <f t="shared" si="78"/>
        <v>20</v>
      </c>
      <c r="BB406" s="1071">
        <f>BA406*('Ввод исходных данных'!$D$83-AY406)</f>
        <v>240</v>
      </c>
      <c r="BC406" s="1072">
        <v>14.3</v>
      </c>
      <c r="BD406" s="1072"/>
      <c r="BE406" s="1072">
        <f t="shared" si="70"/>
        <v>0</v>
      </c>
      <c r="BF406" s="1073">
        <f>BE406*('Ввод исходных данных'!$D$83-BC406)</f>
        <v>0</v>
      </c>
    </row>
    <row r="407" spans="2:58" ht="15.75" customHeight="1" x14ac:dyDescent="0.25">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6512.4000000000005</v>
      </c>
      <c r="J407" s="1059" t="str">
        <f t="shared" si="69"/>
        <v>6000-7000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151.9</v>
      </c>
      <c r="W407" s="1065">
        <v>0.2</v>
      </c>
      <c r="X407" s="1065"/>
      <c r="Y407" s="1065">
        <f t="shared" si="74"/>
        <v>31</v>
      </c>
      <c r="Z407" s="1065">
        <f>Y407*('Ввод исходных данных'!$D$83-W407)</f>
        <v>551.80000000000007</v>
      </c>
      <c r="AA407" s="1066">
        <v>-10.199999999999999</v>
      </c>
      <c r="AB407" s="1066"/>
      <c r="AC407" s="1066">
        <f t="shared" si="75"/>
        <v>30</v>
      </c>
      <c r="AD407" s="1066">
        <f>AC407*('Ввод исходных данных'!$D$83-AA407)</f>
        <v>846</v>
      </c>
      <c r="AE407" s="1067">
        <v>-17.3</v>
      </c>
      <c r="AF407" s="1067"/>
      <c r="AG407" s="1067">
        <v>31</v>
      </c>
      <c r="AH407" s="1067">
        <f>AG407*('Ввод исходных данных'!$D$83-AE407)</f>
        <v>1094.3</v>
      </c>
      <c r="AI407" s="1068">
        <v>-20</v>
      </c>
      <c r="AJ407" s="1068"/>
      <c r="AK407" s="1068">
        <v>31</v>
      </c>
      <c r="AL407" s="1068">
        <f>AK407*('Ввод исходных данных'!$D$83-AI407)</f>
        <v>1178</v>
      </c>
      <c r="AM407" s="1069">
        <v>-17.7</v>
      </c>
      <c r="AN407" s="1069"/>
      <c r="AO407" s="1069">
        <v>28</v>
      </c>
      <c r="AP407" s="1069">
        <f>AO407*('Ввод исходных данных'!$D$83-AM407)</f>
        <v>999.60000000000014</v>
      </c>
      <c r="AQ407" s="1064">
        <v>-8.8000000000000007</v>
      </c>
      <c r="AR407" s="1064"/>
      <c r="AS407" s="1064">
        <f t="shared" si="76"/>
        <v>31</v>
      </c>
      <c r="AT407" s="1064">
        <f>AS407*('Ввод исходных данных'!$D$83-AQ407)</f>
        <v>830.80000000000007</v>
      </c>
      <c r="AU407" s="1070">
        <v>-0.5</v>
      </c>
      <c r="AV407" s="1070"/>
      <c r="AW407" s="1070">
        <f t="shared" si="77"/>
        <v>30</v>
      </c>
      <c r="AX407" s="1070">
        <f>AW407*('Ввод исходных данных'!$D$83-AU407)</f>
        <v>555</v>
      </c>
      <c r="AY407" s="1071">
        <v>7.9</v>
      </c>
      <c r="AZ407" s="1071"/>
      <c r="BA407" s="1071">
        <f t="shared" si="78"/>
        <v>15.5</v>
      </c>
      <c r="BB407" s="1071">
        <f>BA407*('Ввод исходных данных'!$D$83-AY407)</f>
        <v>156.54999999999998</v>
      </c>
      <c r="BC407" s="1072">
        <v>15.4</v>
      </c>
      <c r="BD407" s="1072"/>
      <c r="BE407" s="1072">
        <f t="shared" si="70"/>
        <v>0</v>
      </c>
      <c r="BF407" s="1073">
        <f>BE407*('Ввод исходных данных'!$D$83-BC407)</f>
        <v>0</v>
      </c>
    </row>
    <row r="408" spans="2:58" ht="15.75" customHeight="1" x14ac:dyDescent="0.25">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6512.4000000000005</v>
      </c>
      <c r="J408" s="1059" t="str">
        <f t="shared" si="69"/>
        <v>6000-7000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151.9</v>
      </c>
      <c r="W408" s="1065">
        <v>0.1</v>
      </c>
      <c r="X408" s="1065"/>
      <c r="Y408" s="1065">
        <f t="shared" si="74"/>
        <v>31</v>
      </c>
      <c r="Z408" s="1065">
        <f>Y408*('Ввод исходных данных'!$D$83-W408)</f>
        <v>554.9</v>
      </c>
      <c r="AA408" s="1066">
        <v>-10.5</v>
      </c>
      <c r="AB408" s="1066"/>
      <c r="AC408" s="1066">
        <f t="shared" si="75"/>
        <v>30</v>
      </c>
      <c r="AD408" s="1066">
        <f>AC408*('Ввод исходных данных'!$D$83-AA408)</f>
        <v>855</v>
      </c>
      <c r="AE408" s="1067">
        <v>-17.2</v>
      </c>
      <c r="AF408" s="1067"/>
      <c r="AG408" s="1067">
        <v>31</v>
      </c>
      <c r="AH408" s="1067">
        <f>AG408*('Ввод исходных данных'!$D$83-AE408)</f>
        <v>1091.2</v>
      </c>
      <c r="AI408" s="1068">
        <v>-19.8</v>
      </c>
      <c r="AJ408" s="1068"/>
      <c r="AK408" s="1068">
        <v>31</v>
      </c>
      <c r="AL408" s="1068">
        <f>AK408*('Ввод исходных данных'!$D$83-AI408)</f>
        <v>1171.8</v>
      </c>
      <c r="AM408" s="1069">
        <v>-17.7</v>
      </c>
      <c r="AN408" s="1069"/>
      <c r="AO408" s="1069">
        <v>28</v>
      </c>
      <c r="AP408" s="1069">
        <f>AO408*('Ввод исходных данных'!$D$83-AM408)</f>
        <v>999.60000000000014</v>
      </c>
      <c r="AQ408" s="1064">
        <v>-8.3000000000000007</v>
      </c>
      <c r="AR408" s="1064"/>
      <c r="AS408" s="1064">
        <f t="shared" si="76"/>
        <v>31</v>
      </c>
      <c r="AT408" s="1064">
        <f>AS408*('Ввод исходных данных'!$D$83-AQ408)</f>
        <v>815.30000000000007</v>
      </c>
      <c r="AU408" s="1070">
        <v>-0.3</v>
      </c>
      <c r="AV408" s="1070"/>
      <c r="AW408" s="1070">
        <f t="shared" si="77"/>
        <v>30</v>
      </c>
      <c r="AX408" s="1070">
        <f>AW408*('Ввод исходных данных'!$D$83-AU408)</f>
        <v>549</v>
      </c>
      <c r="AY408" s="1071">
        <v>7.7</v>
      </c>
      <c r="AZ408" s="1071"/>
      <c r="BA408" s="1071">
        <f t="shared" si="78"/>
        <v>15.5</v>
      </c>
      <c r="BB408" s="1071">
        <f>BA408*('Ввод исходных данных'!$D$83-AY408)</f>
        <v>159.65</v>
      </c>
      <c r="BC408" s="1072">
        <v>15.2</v>
      </c>
      <c r="BD408" s="1072"/>
      <c r="BE408" s="1072">
        <f t="shared" si="70"/>
        <v>0</v>
      </c>
      <c r="BF408" s="1073">
        <f>BE408*('Ввод исходных данных'!$D$83-BC408)</f>
        <v>0</v>
      </c>
    </row>
    <row r="409" spans="2:58" ht="15.75" customHeight="1" x14ac:dyDescent="0.25">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6034.7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94.5</v>
      </c>
      <c r="W409" s="1065">
        <v>1.3</v>
      </c>
      <c r="X409" s="1065"/>
      <c r="Y409" s="1065">
        <f t="shared" si="74"/>
        <v>31</v>
      </c>
      <c r="Z409" s="1065">
        <f>Y409*('Ввод исходных данных'!$D$83-W409)</f>
        <v>517.69999999999993</v>
      </c>
      <c r="AA409" s="1066">
        <v>-8.5</v>
      </c>
      <c r="AB409" s="1066"/>
      <c r="AC409" s="1066">
        <f t="shared" si="75"/>
        <v>30</v>
      </c>
      <c r="AD409" s="1066">
        <f>AC409*('Ввод исходных данных'!$D$83-AA409)</f>
        <v>795</v>
      </c>
      <c r="AE409" s="1067">
        <v>-15.4</v>
      </c>
      <c r="AF409" s="1067"/>
      <c r="AG409" s="1067">
        <v>31</v>
      </c>
      <c r="AH409" s="1067">
        <f>AG409*('Ввод исходных данных'!$D$83-AE409)</f>
        <v>1035.3999999999999</v>
      </c>
      <c r="AI409" s="1068">
        <v>-17.899999999999999</v>
      </c>
      <c r="AJ409" s="1068"/>
      <c r="AK409" s="1068">
        <v>31</v>
      </c>
      <c r="AL409" s="1068">
        <f>AK409*('Ввод исходных данных'!$D$83-AI409)</f>
        <v>1112.8999999999999</v>
      </c>
      <c r="AM409" s="1069">
        <v>-15.7</v>
      </c>
      <c r="AN409" s="1069"/>
      <c r="AO409" s="1069">
        <v>28</v>
      </c>
      <c r="AP409" s="1069">
        <f>AO409*('Ввод исходных данных'!$D$83-AM409)</f>
        <v>943.60000000000014</v>
      </c>
      <c r="AQ409" s="1064">
        <v>-7.7</v>
      </c>
      <c r="AR409" s="1064"/>
      <c r="AS409" s="1064">
        <f t="shared" si="76"/>
        <v>31</v>
      </c>
      <c r="AT409" s="1064">
        <f>AS409*('Ввод исходных данных'!$D$83-AQ409)</f>
        <v>796.69999999999993</v>
      </c>
      <c r="AU409" s="1070">
        <v>1.2</v>
      </c>
      <c r="AV409" s="1070"/>
      <c r="AW409" s="1070">
        <f t="shared" si="77"/>
        <v>30</v>
      </c>
      <c r="AX409" s="1070">
        <f>AW409*('Ввод исходных данных'!$D$83-AU409)</f>
        <v>504</v>
      </c>
      <c r="AY409" s="1071">
        <v>9.6999999999999993</v>
      </c>
      <c r="AZ409" s="1071"/>
      <c r="BA409" s="1071">
        <f t="shared" si="78"/>
        <v>10.5</v>
      </c>
      <c r="BB409" s="1071">
        <f>BA409*('Ввод исходных данных'!$D$83-AY409)</f>
        <v>87.15</v>
      </c>
      <c r="BC409" s="1072">
        <v>15.9</v>
      </c>
      <c r="BD409" s="1072"/>
      <c r="BE409" s="1072">
        <f t="shared" si="70"/>
        <v>0</v>
      </c>
      <c r="BF409" s="1073">
        <f>BE409*('Ввод исходных данных'!$D$83-BC409)</f>
        <v>0</v>
      </c>
    </row>
    <row r="410" spans="2:58" ht="15.75" customHeight="1" x14ac:dyDescent="0.25">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6797.7</v>
      </c>
      <c r="J410" s="1059" t="str">
        <f t="shared" si="69"/>
        <v>6000-7000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192.4</v>
      </c>
      <c r="W410" s="1065">
        <v>-0.8</v>
      </c>
      <c r="X410" s="1065"/>
      <c r="Y410" s="1065">
        <f t="shared" si="74"/>
        <v>31</v>
      </c>
      <c r="Z410" s="1065">
        <f>Y410*('Ввод исходных данных'!$D$83-W410)</f>
        <v>582.80000000000007</v>
      </c>
      <c r="AA410" s="1066">
        <v>-11.8</v>
      </c>
      <c r="AB410" s="1066"/>
      <c r="AC410" s="1066">
        <f t="shared" si="75"/>
        <v>30</v>
      </c>
      <c r="AD410" s="1066">
        <f>AC410*('Ввод исходных данных'!$D$83-AA410)</f>
        <v>894</v>
      </c>
      <c r="AE410" s="1067">
        <v>-18.7</v>
      </c>
      <c r="AF410" s="1067"/>
      <c r="AG410" s="1067">
        <v>31</v>
      </c>
      <c r="AH410" s="1067">
        <f>AG410*('Ввод исходных данных'!$D$83-AE410)</f>
        <v>1137.7</v>
      </c>
      <c r="AI410" s="1068">
        <v>-21</v>
      </c>
      <c r="AJ410" s="1068"/>
      <c r="AK410" s="1068">
        <v>31</v>
      </c>
      <c r="AL410" s="1068">
        <f>AK410*('Ввод исходных данных'!$D$83-AI410)</f>
        <v>1209</v>
      </c>
      <c r="AM410" s="1069">
        <v>-18.3</v>
      </c>
      <c r="AN410" s="1069"/>
      <c r="AO410" s="1069">
        <v>28</v>
      </c>
      <c r="AP410" s="1069">
        <f>AO410*('Ввод исходных данных'!$D$83-AM410)</f>
        <v>1016.3999999999999</v>
      </c>
      <c r="AQ410" s="1064">
        <v>-9.3000000000000007</v>
      </c>
      <c r="AR410" s="1064"/>
      <c r="AS410" s="1064">
        <f t="shared" si="76"/>
        <v>31</v>
      </c>
      <c r="AT410" s="1064">
        <f>AS410*('Ввод исходных данных'!$D$83-AQ410)</f>
        <v>846.30000000000007</v>
      </c>
      <c r="AU410" s="1070">
        <v>-1</v>
      </c>
      <c r="AV410" s="1070"/>
      <c r="AW410" s="1070">
        <f t="shared" si="77"/>
        <v>30</v>
      </c>
      <c r="AX410" s="1070">
        <f>AW410*('Ввод исходных данных'!$D$83-AU410)</f>
        <v>570</v>
      </c>
      <c r="AY410" s="1071">
        <v>7.1</v>
      </c>
      <c r="AZ410" s="1071"/>
      <c r="BA410" s="1071">
        <f t="shared" si="78"/>
        <v>18.5</v>
      </c>
      <c r="BB410" s="1071">
        <f>BA410*('Ввод исходных данных'!$D$83-AY410)</f>
        <v>201.65</v>
      </c>
      <c r="BC410" s="1072">
        <v>15.2</v>
      </c>
      <c r="BD410" s="1072"/>
      <c r="BE410" s="1072">
        <f t="shared" si="70"/>
        <v>0</v>
      </c>
      <c r="BF410" s="1073">
        <f>BE410*('Ввод исходных данных'!$D$83-BC410)</f>
        <v>0</v>
      </c>
    </row>
    <row r="411" spans="2:58" ht="15.75" customHeight="1" x14ac:dyDescent="0.25">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4347</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364</v>
      </c>
      <c r="AA411" s="1066">
        <v>-1.1000000000000001</v>
      </c>
      <c r="AB411" s="1066"/>
      <c r="AC411" s="1066">
        <f t="shared" si="75"/>
        <v>30</v>
      </c>
      <c r="AD411" s="1066">
        <f>AC411*('Ввод исходных данных'!$D$83-AA411)</f>
        <v>573</v>
      </c>
      <c r="AE411" s="1067">
        <v>-6.7</v>
      </c>
      <c r="AF411" s="1067"/>
      <c r="AG411" s="1067">
        <v>31</v>
      </c>
      <c r="AH411" s="1067">
        <f>AG411*('Ввод исходных данных'!$D$83-AE411)</f>
        <v>765.69999999999993</v>
      </c>
      <c r="AI411" s="1068">
        <v>-9.9</v>
      </c>
      <c r="AJ411" s="1068"/>
      <c r="AK411" s="1068">
        <v>31</v>
      </c>
      <c r="AL411" s="1068">
        <f>AK411*('Ввод исходных данных'!$D$83-AI411)</f>
        <v>864.9</v>
      </c>
      <c r="AM411" s="1069">
        <v>-9.5</v>
      </c>
      <c r="AN411" s="1069"/>
      <c r="AO411" s="1069">
        <v>28</v>
      </c>
      <c r="AP411" s="1069">
        <f>AO411*('Ввод исходных данных'!$D$83-AM411)</f>
        <v>770</v>
      </c>
      <c r="AQ411" s="1064">
        <v>-4.0999999999999996</v>
      </c>
      <c r="AR411" s="1064"/>
      <c r="AS411" s="1064">
        <f t="shared" si="76"/>
        <v>31</v>
      </c>
      <c r="AT411" s="1064">
        <f>AS411*('Ввод исходных данных'!$D$83-AQ411)</f>
        <v>685.1</v>
      </c>
      <c r="AU411" s="1070">
        <v>5</v>
      </c>
      <c r="AV411" s="1070"/>
      <c r="AW411" s="1070">
        <f t="shared" si="77"/>
        <v>28</v>
      </c>
      <c r="AX411" s="1070">
        <f>AW411*('Ввод исходных данных'!$D$83-AU411)</f>
        <v>364</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25">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6266</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131.94999999999999</v>
      </c>
      <c r="W412" s="1065">
        <v>0.2</v>
      </c>
      <c r="X412" s="1065"/>
      <c r="Y412" s="1065">
        <f t="shared" si="74"/>
        <v>31</v>
      </c>
      <c r="Z412" s="1065">
        <f>Y412*('Ввод исходных данных'!$D$83-W412)</f>
        <v>551.80000000000007</v>
      </c>
      <c r="AA412" s="1066">
        <v>-9.8000000000000007</v>
      </c>
      <c r="AB412" s="1066"/>
      <c r="AC412" s="1066">
        <f t="shared" si="75"/>
        <v>30</v>
      </c>
      <c r="AD412" s="1066">
        <f>AC412*('Ввод исходных данных'!$D$83-AA412)</f>
        <v>834</v>
      </c>
      <c r="AE412" s="1067">
        <v>-17</v>
      </c>
      <c r="AF412" s="1067"/>
      <c r="AG412" s="1067">
        <v>31</v>
      </c>
      <c r="AH412" s="1067">
        <f>AG412*('Ввод исходных данных'!$D$83-AE412)</f>
        <v>1085</v>
      </c>
      <c r="AI412" s="1068">
        <v>-19.2</v>
      </c>
      <c r="AJ412" s="1068"/>
      <c r="AK412" s="1068">
        <v>31</v>
      </c>
      <c r="AL412" s="1068">
        <f>AK412*('Ввод исходных данных'!$D$83-AI412)</f>
        <v>1153.2</v>
      </c>
      <c r="AM412" s="1069">
        <v>-16.899999999999999</v>
      </c>
      <c r="AN412" s="1069"/>
      <c r="AO412" s="1069">
        <v>28</v>
      </c>
      <c r="AP412" s="1069">
        <f>AO412*('Ввод исходных данных'!$D$83-AM412)</f>
        <v>977.19999999999993</v>
      </c>
      <c r="AQ412" s="1064">
        <v>-9.4</v>
      </c>
      <c r="AR412" s="1064"/>
      <c r="AS412" s="1064">
        <f t="shared" si="76"/>
        <v>31</v>
      </c>
      <c r="AT412" s="1064">
        <f>AS412*('Ввод исходных данных'!$D$83-AQ412)</f>
        <v>849.4</v>
      </c>
      <c r="AU412" s="1070">
        <v>0.7</v>
      </c>
      <c r="AV412" s="1070"/>
      <c r="AW412" s="1070">
        <f t="shared" si="77"/>
        <v>30</v>
      </c>
      <c r="AX412" s="1070">
        <f>AW412*('Ввод исходных данных'!$D$83-AU412)</f>
        <v>519</v>
      </c>
      <c r="AY412" s="1071">
        <v>7.7</v>
      </c>
      <c r="AZ412" s="1071"/>
      <c r="BA412" s="1071">
        <f t="shared" si="78"/>
        <v>14.5</v>
      </c>
      <c r="BB412" s="1071">
        <f>BA412*('Ввод исходных данных'!$D$83-AY412)</f>
        <v>149.35000000000002</v>
      </c>
      <c r="BC412" s="1072">
        <v>14.7</v>
      </c>
      <c r="BD412" s="1072"/>
      <c r="BE412" s="1072">
        <f t="shared" si="70"/>
        <v>0</v>
      </c>
      <c r="BF412" s="1073">
        <f>BE412*('Ввод исходных данных'!$D$83-BC412)</f>
        <v>0</v>
      </c>
    </row>
    <row r="413" spans="2:58" ht="15.75" customHeight="1" x14ac:dyDescent="0.25">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6019.7999999999993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117.5</v>
      </c>
      <c r="W413" s="1065">
        <v>0.8</v>
      </c>
      <c r="X413" s="1065"/>
      <c r="Y413" s="1065">
        <f t="shared" si="74"/>
        <v>31</v>
      </c>
      <c r="Z413" s="1065">
        <f>Y413*('Ввод исходных данных'!$D$83-W413)</f>
        <v>533.19999999999993</v>
      </c>
      <c r="AA413" s="1066">
        <v>-8.6</v>
      </c>
      <c r="AB413" s="1066"/>
      <c r="AC413" s="1066">
        <f t="shared" si="75"/>
        <v>30</v>
      </c>
      <c r="AD413" s="1066">
        <f>AC413*('Ввод исходных данных'!$D$83-AA413)</f>
        <v>798</v>
      </c>
      <c r="AE413" s="1067">
        <v>-14.9</v>
      </c>
      <c r="AF413" s="1067"/>
      <c r="AG413" s="1067">
        <v>31</v>
      </c>
      <c r="AH413" s="1067">
        <f>AG413*('Ввод исходных данных'!$D$83-AE413)</f>
        <v>1019.9</v>
      </c>
      <c r="AI413" s="1068">
        <v>-17.600000000000001</v>
      </c>
      <c r="AJ413" s="1068"/>
      <c r="AK413" s="1068">
        <v>31</v>
      </c>
      <c r="AL413" s="1068">
        <f>AK413*('Ввод исходных данных'!$D$83-AI413)</f>
        <v>1103.6000000000001</v>
      </c>
      <c r="AM413" s="1069">
        <v>-15.8</v>
      </c>
      <c r="AN413" s="1069"/>
      <c r="AO413" s="1069">
        <v>28</v>
      </c>
      <c r="AP413" s="1069">
        <f>AO413*('Ввод исходных данных'!$D$83-AM413)</f>
        <v>946.39999999999986</v>
      </c>
      <c r="AQ413" s="1064">
        <v>-6.3</v>
      </c>
      <c r="AR413" s="1064"/>
      <c r="AS413" s="1064">
        <f t="shared" si="76"/>
        <v>31</v>
      </c>
      <c r="AT413" s="1064">
        <f>AS413*('Ввод исходных данных'!$D$83-AQ413)</f>
        <v>753.30000000000007</v>
      </c>
      <c r="AU413" s="1070">
        <v>1.3</v>
      </c>
      <c r="AV413" s="1070"/>
      <c r="AW413" s="1070">
        <f t="shared" si="77"/>
        <v>30</v>
      </c>
      <c r="AX413" s="1070">
        <f>AW413*('Ввод исходных данных'!$D$83-AU413)</f>
        <v>501</v>
      </c>
      <c r="AY413" s="1071">
        <v>8.8000000000000007</v>
      </c>
      <c r="AZ413" s="1071"/>
      <c r="BA413" s="1071">
        <f t="shared" si="78"/>
        <v>12.5</v>
      </c>
      <c r="BB413" s="1071">
        <f>BA413*('Ввод исходных данных'!$D$83-AY413)</f>
        <v>114.99999999999999</v>
      </c>
      <c r="BC413" s="1072">
        <v>15.4</v>
      </c>
      <c r="BD413" s="1072"/>
      <c r="BE413" s="1072">
        <f t="shared" si="70"/>
        <v>0</v>
      </c>
      <c r="BF413" s="1073">
        <f>BE413*('Ввод исходных данных'!$D$83-BC413)</f>
        <v>0</v>
      </c>
    </row>
    <row r="414" spans="2:58" ht="15.75" customHeight="1" x14ac:dyDescent="0.25">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9490</v>
      </c>
      <c r="J414" s="1059" t="str">
        <f t="shared" si="69"/>
        <v>9000-10000</v>
      </c>
      <c r="K414" s="1060">
        <v>7.3</v>
      </c>
      <c r="L414" s="1060"/>
      <c r="M414" s="1061">
        <f t="shared" si="71"/>
        <v>31</v>
      </c>
      <c r="N414" s="1062">
        <f>M414*('Ввод исходных данных'!$D$83-K414)</f>
        <v>331.7</v>
      </c>
      <c r="O414" s="1063">
        <v>7</v>
      </c>
      <c r="P414" s="1063"/>
      <c r="Q414" s="1063">
        <f t="shared" si="72"/>
        <v>31</v>
      </c>
      <c r="R414" s="1063">
        <f>Q414*('Ввод исходных данных'!$D$83-O414)</f>
        <v>341</v>
      </c>
      <c r="S414" s="1064">
        <v>3.7</v>
      </c>
      <c r="T414" s="1064"/>
      <c r="U414" s="1064">
        <f t="shared" si="73"/>
        <v>30</v>
      </c>
      <c r="V414" s="1064">
        <f>U414*('Ввод исходных данных'!$D$83-S414)</f>
        <v>429</v>
      </c>
      <c r="W414" s="1065">
        <v>-4.5</v>
      </c>
      <c r="X414" s="1065"/>
      <c r="Y414" s="1065">
        <f t="shared" si="74"/>
        <v>31</v>
      </c>
      <c r="Z414" s="1065">
        <f>Y414*('Ввод исходных данных'!$D$83-W414)</f>
        <v>697.5</v>
      </c>
      <c r="AA414" s="1066">
        <v>-13</v>
      </c>
      <c r="AB414" s="1066"/>
      <c r="AC414" s="1066">
        <f t="shared" si="75"/>
        <v>30</v>
      </c>
      <c r="AD414" s="1066">
        <f>AC414*('Ввод исходных данных'!$D$83-AA414)</f>
        <v>930</v>
      </c>
      <c r="AE414" s="1067">
        <v>-18</v>
      </c>
      <c r="AF414" s="1067"/>
      <c r="AG414" s="1067">
        <v>31</v>
      </c>
      <c r="AH414" s="1067">
        <f>AG414*('Ввод исходных данных'!$D$83-AE414)</f>
        <v>1116</v>
      </c>
      <c r="AI414" s="1068">
        <v>-21.7</v>
      </c>
      <c r="AJ414" s="1068"/>
      <c r="AK414" s="1068">
        <v>31</v>
      </c>
      <c r="AL414" s="1068">
        <f>AK414*('Ввод исходных данных'!$D$83-AI414)</f>
        <v>1230.7</v>
      </c>
      <c r="AM414" s="1069">
        <v>-22.4</v>
      </c>
      <c r="AN414" s="1069"/>
      <c r="AO414" s="1069">
        <v>28</v>
      </c>
      <c r="AP414" s="1069">
        <f>AO414*('Ввод исходных данных'!$D$83-AM414)</f>
        <v>1131.2</v>
      </c>
      <c r="AQ414" s="1064">
        <v>-17.8</v>
      </c>
      <c r="AR414" s="1064"/>
      <c r="AS414" s="1064">
        <f t="shared" si="76"/>
        <v>31</v>
      </c>
      <c r="AT414" s="1064">
        <f>AS414*('Ввод исходных данных'!$D$83-AQ414)</f>
        <v>1109.8</v>
      </c>
      <c r="AU414" s="1070">
        <v>-13.5</v>
      </c>
      <c r="AV414" s="1070"/>
      <c r="AW414" s="1070">
        <f t="shared" si="77"/>
        <v>30</v>
      </c>
      <c r="AX414" s="1070">
        <f>AW414*('Ввод исходных данных'!$D$83-AU414)</f>
        <v>945</v>
      </c>
      <c r="AY414" s="1071">
        <v>-5.5</v>
      </c>
      <c r="AZ414" s="1071"/>
      <c r="BA414" s="1071">
        <f t="shared" si="78"/>
        <v>31</v>
      </c>
      <c r="BB414" s="1071">
        <f>BA414*('Ввод исходных данных'!$D$83-AY414)</f>
        <v>728.5</v>
      </c>
      <c r="BC414" s="1072">
        <v>2</v>
      </c>
      <c r="BD414" s="1072"/>
      <c r="BE414" s="1072">
        <f t="shared" si="70"/>
        <v>30</v>
      </c>
      <c r="BF414" s="1073">
        <f>BE414*('Ввод исходных данных'!$D$83-BC414)</f>
        <v>480</v>
      </c>
    </row>
    <row r="415" spans="2:58" ht="15.75" customHeight="1" x14ac:dyDescent="0.25">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6964.7000000000007</v>
      </c>
      <c r="J415" s="1059" t="str">
        <f t="shared" si="69"/>
        <v>6000-7000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249.75</v>
      </c>
      <c r="W415" s="1065">
        <v>-1.6</v>
      </c>
      <c r="X415" s="1065"/>
      <c r="Y415" s="1065">
        <f t="shared" si="74"/>
        <v>31</v>
      </c>
      <c r="Z415" s="1065">
        <f>Y415*('Ввод исходных данных'!$D$83-W415)</f>
        <v>607.6</v>
      </c>
      <c r="AA415" s="1066">
        <v>-11.6</v>
      </c>
      <c r="AB415" s="1066"/>
      <c r="AC415" s="1066">
        <f t="shared" si="75"/>
        <v>30</v>
      </c>
      <c r="AD415" s="1066">
        <f>AC415*('Ввод исходных данных'!$D$83-AA415)</f>
        <v>888</v>
      </c>
      <c r="AE415" s="1067">
        <v>-18</v>
      </c>
      <c r="AF415" s="1067"/>
      <c r="AG415" s="1067">
        <v>31</v>
      </c>
      <c r="AH415" s="1067">
        <f>AG415*('Ввод исходных данных'!$D$83-AE415)</f>
        <v>1116</v>
      </c>
      <c r="AI415" s="1068">
        <v>-20.9</v>
      </c>
      <c r="AJ415" s="1068"/>
      <c r="AK415" s="1068">
        <v>31</v>
      </c>
      <c r="AL415" s="1068">
        <f>AK415*('Ввод исходных данных'!$D$83-AI415)</f>
        <v>1205.8999999999999</v>
      </c>
      <c r="AM415" s="1069">
        <v>-18.8</v>
      </c>
      <c r="AN415" s="1069"/>
      <c r="AO415" s="1069">
        <v>28</v>
      </c>
      <c r="AP415" s="1069">
        <f>AO415*('Ввод исходных данных'!$D$83-AM415)</f>
        <v>1030.3999999999999</v>
      </c>
      <c r="AQ415" s="1064">
        <v>-8.9</v>
      </c>
      <c r="AR415" s="1064"/>
      <c r="AS415" s="1064">
        <f t="shared" si="76"/>
        <v>31</v>
      </c>
      <c r="AT415" s="1064">
        <f>AS415*('Ввод исходных данных'!$D$83-AQ415)</f>
        <v>833.9</v>
      </c>
      <c r="AU415" s="1070">
        <v>-2.1</v>
      </c>
      <c r="AV415" s="1070"/>
      <c r="AW415" s="1070">
        <f t="shared" si="77"/>
        <v>30</v>
      </c>
      <c r="AX415" s="1070">
        <f>AW415*('Ввод исходных данных'!$D$83-AU415)</f>
        <v>603</v>
      </c>
      <c r="AY415" s="1071">
        <v>5.5</v>
      </c>
      <c r="AZ415" s="1071"/>
      <c r="BA415" s="1071">
        <f t="shared" si="78"/>
        <v>22.5</v>
      </c>
      <c r="BB415" s="1071">
        <f>BA415*('Ввод исходных данных'!$D$83-AY415)</f>
        <v>281.25</v>
      </c>
      <c r="BC415" s="1072">
        <v>13.2</v>
      </c>
      <c r="BD415" s="1072"/>
      <c r="BE415" s="1072">
        <f t="shared" si="70"/>
        <v>0</v>
      </c>
      <c r="BF415" s="1073">
        <f>BE415*('Ввод исходных данных'!$D$83-BC415)</f>
        <v>0</v>
      </c>
    </row>
    <row r="416" spans="2:58" ht="15.75" customHeight="1" x14ac:dyDescent="0.25">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7177.5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279.3</v>
      </c>
      <c r="W416" s="1065">
        <v>-2.5</v>
      </c>
      <c r="X416" s="1065"/>
      <c r="Y416" s="1065">
        <f t="shared" si="74"/>
        <v>31</v>
      </c>
      <c r="Z416" s="1065">
        <f>Y416*('Ввод исходных данных'!$D$83-W416)</f>
        <v>635.5</v>
      </c>
      <c r="AA416" s="1066">
        <v>-12.8</v>
      </c>
      <c r="AB416" s="1066"/>
      <c r="AC416" s="1066">
        <f t="shared" si="75"/>
        <v>30</v>
      </c>
      <c r="AD416" s="1066">
        <f>AC416*('Ввод исходных данных'!$D$83-AA416)</f>
        <v>924</v>
      </c>
      <c r="AE416" s="1067">
        <v>-20.2</v>
      </c>
      <c r="AF416" s="1067"/>
      <c r="AG416" s="1067">
        <v>31</v>
      </c>
      <c r="AH416" s="1067">
        <f>AG416*('Ввод исходных данных'!$D$83-AE416)</f>
        <v>1184.2</v>
      </c>
      <c r="AI416" s="1068">
        <v>-22.7</v>
      </c>
      <c r="AJ416" s="1068"/>
      <c r="AK416" s="1068">
        <v>31</v>
      </c>
      <c r="AL416" s="1068">
        <f>AK416*('Ввод исходных данных'!$D$83-AI416)</f>
        <v>1261.7</v>
      </c>
      <c r="AM416" s="1069">
        <v>-20.399999999999999</v>
      </c>
      <c r="AN416" s="1069"/>
      <c r="AO416" s="1069">
        <v>28</v>
      </c>
      <c r="AP416" s="1069">
        <f>AO416*('Ввод исходных данных'!$D$83-AM416)</f>
        <v>1075.2</v>
      </c>
      <c r="AQ416" s="1064">
        <v>-12</v>
      </c>
      <c r="AR416" s="1064"/>
      <c r="AS416" s="1064">
        <f t="shared" si="76"/>
        <v>31</v>
      </c>
      <c r="AT416" s="1064">
        <f>AS416*('Ввод исходных данных'!$D$83-AQ416)</f>
        <v>930</v>
      </c>
      <c r="AU416" s="1070">
        <v>-1.8</v>
      </c>
      <c r="AV416" s="1070"/>
      <c r="AW416" s="1070">
        <f t="shared" si="77"/>
        <v>30</v>
      </c>
      <c r="AX416" s="1070">
        <f>AW416*('Ввод исходных данных'!$D$83-AU416)</f>
        <v>594</v>
      </c>
      <c r="AY416" s="1071">
        <v>5.2</v>
      </c>
      <c r="AZ416" s="1071"/>
      <c r="BA416" s="1071">
        <f t="shared" si="78"/>
        <v>24.5</v>
      </c>
      <c r="BB416" s="1071">
        <f>BA416*('Ввод исходных данных'!$D$83-AY416)</f>
        <v>313.60000000000002</v>
      </c>
      <c r="BC416" s="1072">
        <v>12.3</v>
      </c>
      <c r="BD416" s="1072"/>
      <c r="BE416" s="1072">
        <f t="shared" si="70"/>
        <v>0</v>
      </c>
      <c r="BF416" s="1073">
        <f>BE416*('Ввод исходных данных'!$D$83-BC416)</f>
        <v>0</v>
      </c>
    </row>
    <row r="417" spans="2:58" ht="15.75" customHeight="1" x14ac:dyDescent="0.25">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6008.7999999999993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90</v>
      </c>
      <c r="W417" s="1065">
        <v>1.5</v>
      </c>
      <c r="X417" s="1065"/>
      <c r="Y417" s="1065">
        <f t="shared" si="74"/>
        <v>31</v>
      </c>
      <c r="Z417" s="1065">
        <f>Y417*('Ввод исходных данных'!$D$83-W417)</f>
        <v>511.5</v>
      </c>
      <c r="AA417" s="1066">
        <v>-8.1</v>
      </c>
      <c r="AB417" s="1066"/>
      <c r="AC417" s="1066">
        <f t="shared" si="75"/>
        <v>30</v>
      </c>
      <c r="AD417" s="1066">
        <f>AC417*('Ввод исходных данных'!$D$83-AA417)</f>
        <v>783</v>
      </c>
      <c r="AE417" s="1067">
        <v>-15.3</v>
      </c>
      <c r="AF417" s="1067"/>
      <c r="AG417" s="1067">
        <v>31</v>
      </c>
      <c r="AH417" s="1067">
        <f>AG417*('Ввод исходных данных'!$D$83-AE417)</f>
        <v>1032.3</v>
      </c>
      <c r="AI417" s="1068">
        <v>-18.399999999999999</v>
      </c>
      <c r="AJ417" s="1068"/>
      <c r="AK417" s="1068">
        <v>31</v>
      </c>
      <c r="AL417" s="1068">
        <f>AK417*('Ввод исходных данных'!$D$83-AI417)</f>
        <v>1128.3999999999999</v>
      </c>
      <c r="AM417" s="1069">
        <v>-16.7</v>
      </c>
      <c r="AN417" s="1069"/>
      <c r="AO417" s="1069">
        <v>28</v>
      </c>
      <c r="AP417" s="1069">
        <f>AO417*('Ввод исходных данных'!$D$83-AM417)</f>
        <v>971.60000000000014</v>
      </c>
      <c r="AQ417" s="1064">
        <v>-7.4</v>
      </c>
      <c r="AR417" s="1064"/>
      <c r="AS417" s="1064">
        <f t="shared" si="76"/>
        <v>31</v>
      </c>
      <c r="AT417" s="1064">
        <f>AS417*('Ввод исходных данных'!$D$83-AQ417)</f>
        <v>787.4</v>
      </c>
      <c r="AU417" s="1070">
        <v>1.9</v>
      </c>
      <c r="AV417" s="1070"/>
      <c r="AW417" s="1070">
        <f t="shared" si="77"/>
        <v>30</v>
      </c>
      <c r="AX417" s="1070">
        <f>AW417*('Ввод исходных данных'!$D$83-AU417)</f>
        <v>483.00000000000006</v>
      </c>
      <c r="AY417" s="1071">
        <v>9.9</v>
      </c>
      <c r="AZ417" s="1071"/>
      <c r="BA417" s="1071">
        <f t="shared" si="78"/>
        <v>10</v>
      </c>
      <c r="BB417" s="1071">
        <f>BA417*('Ввод исходных данных'!$D$83-AY417)</f>
        <v>81</v>
      </c>
      <c r="BC417" s="1072">
        <v>16.100000000000001</v>
      </c>
      <c r="BD417" s="1072"/>
      <c r="BE417" s="1072">
        <f t="shared" si="70"/>
        <v>0</v>
      </c>
      <c r="BF417" s="1073">
        <f>BE417*('Ввод исходных данных'!$D$83-BC417)</f>
        <v>0</v>
      </c>
    </row>
    <row r="418" spans="2:58" ht="15.75" customHeight="1" x14ac:dyDescent="0.25">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5552.7</v>
      </c>
      <c r="J418" s="1059" t="str">
        <f t="shared" si="69"/>
        <v>5000-6000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46.2</v>
      </c>
      <c r="W418" s="1065">
        <v>2.2000000000000002</v>
      </c>
      <c r="X418" s="1065"/>
      <c r="Y418" s="1065">
        <f t="shared" si="74"/>
        <v>31</v>
      </c>
      <c r="Z418" s="1065">
        <f>Y418*('Ввод исходных данных'!$D$83-W418)</f>
        <v>489.8</v>
      </c>
      <c r="AA418" s="1066">
        <v>-6.8</v>
      </c>
      <c r="AB418" s="1066"/>
      <c r="AC418" s="1066">
        <f t="shared" si="75"/>
        <v>30</v>
      </c>
      <c r="AD418" s="1066">
        <f>AC418*('Ввод исходных данных'!$D$83-AA418)</f>
        <v>744</v>
      </c>
      <c r="AE418" s="1067">
        <v>-13.5</v>
      </c>
      <c r="AF418" s="1067"/>
      <c r="AG418" s="1067">
        <v>31</v>
      </c>
      <c r="AH418" s="1067">
        <f>AG418*('Ввод исходных данных'!$D$83-AE418)</f>
        <v>976.5</v>
      </c>
      <c r="AI418" s="1068">
        <v>-16.2</v>
      </c>
      <c r="AJ418" s="1068"/>
      <c r="AK418" s="1068">
        <v>31</v>
      </c>
      <c r="AL418" s="1068">
        <f>AK418*('Ввод исходных данных'!$D$83-AI418)</f>
        <v>1060.2</v>
      </c>
      <c r="AM418" s="1069">
        <v>-14.3</v>
      </c>
      <c r="AN418" s="1069"/>
      <c r="AO418" s="1069">
        <v>28</v>
      </c>
      <c r="AP418" s="1069">
        <f>AO418*('Ввод исходных данных'!$D$83-AM418)</f>
        <v>904.39999999999986</v>
      </c>
      <c r="AQ418" s="1064">
        <v>-5.7</v>
      </c>
      <c r="AR418" s="1064"/>
      <c r="AS418" s="1064">
        <f t="shared" si="76"/>
        <v>31</v>
      </c>
      <c r="AT418" s="1064">
        <f>AS418*('Ввод исходных данных'!$D$83-AQ418)</f>
        <v>734.69999999999993</v>
      </c>
      <c r="AU418" s="1070">
        <v>3.7</v>
      </c>
      <c r="AV418" s="1070"/>
      <c r="AW418" s="1070">
        <f t="shared" si="77"/>
        <v>30</v>
      </c>
      <c r="AX418" s="1070">
        <f>AW418*('Ввод исходных данных'!$D$83-AU418)</f>
        <v>429</v>
      </c>
      <c r="AY418" s="1071">
        <v>11</v>
      </c>
      <c r="AZ418" s="1071"/>
      <c r="BA418" s="1071">
        <f t="shared" si="78"/>
        <v>5.5</v>
      </c>
      <c r="BB418" s="1071">
        <f>BA418*('Ввод исходных данных'!$D$83-AY418)</f>
        <v>38.5</v>
      </c>
      <c r="BC418" s="1072">
        <v>16.5</v>
      </c>
      <c r="BD418" s="1072"/>
      <c r="BE418" s="1072">
        <f t="shared" si="70"/>
        <v>0</v>
      </c>
      <c r="BF418" s="1073">
        <f>BE418*('Ввод исходных данных'!$D$83-BC418)</f>
        <v>0</v>
      </c>
    </row>
    <row r="419" spans="2:58" ht="15.75" customHeight="1" x14ac:dyDescent="0.25">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6802.1</v>
      </c>
      <c r="J419" s="1059" t="str">
        <f t="shared" si="69"/>
        <v>6000-7000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196.95</v>
      </c>
      <c r="W419" s="1065">
        <v>-1.4</v>
      </c>
      <c r="X419" s="1065"/>
      <c r="Y419" s="1065">
        <f t="shared" si="74"/>
        <v>31</v>
      </c>
      <c r="Z419" s="1065">
        <f>Y419*('Ввод исходных данных'!$D$83-W419)</f>
        <v>601.4</v>
      </c>
      <c r="AA419" s="1066">
        <v>-12.6</v>
      </c>
      <c r="AB419" s="1066"/>
      <c r="AC419" s="1066">
        <f t="shared" si="75"/>
        <v>30</v>
      </c>
      <c r="AD419" s="1066">
        <f>AC419*('Ввод исходных данных'!$D$83-AA419)</f>
        <v>918</v>
      </c>
      <c r="AE419" s="1067">
        <v>-18.8</v>
      </c>
      <c r="AF419" s="1067"/>
      <c r="AG419" s="1067">
        <v>31</v>
      </c>
      <c r="AH419" s="1067">
        <f>AG419*('Ввод исходных данных'!$D$83-AE419)</f>
        <v>1140.8</v>
      </c>
      <c r="AI419" s="1068">
        <v>-21</v>
      </c>
      <c r="AJ419" s="1068"/>
      <c r="AK419" s="1068">
        <v>31</v>
      </c>
      <c r="AL419" s="1068">
        <f>AK419*('Ввод исходных данных'!$D$83-AI419)</f>
        <v>1209</v>
      </c>
      <c r="AM419" s="1069">
        <v>-19.399999999999999</v>
      </c>
      <c r="AN419" s="1069"/>
      <c r="AO419" s="1069">
        <v>28</v>
      </c>
      <c r="AP419" s="1069">
        <f>AO419*('Ввод исходных данных'!$D$83-AM419)</f>
        <v>1047.2</v>
      </c>
      <c r="AQ419" s="1064">
        <v>-10.9</v>
      </c>
      <c r="AR419" s="1064"/>
      <c r="AS419" s="1064">
        <f t="shared" si="76"/>
        <v>31</v>
      </c>
      <c r="AT419" s="1064">
        <f>AS419*('Ввод исходных данных'!$D$83-AQ419)</f>
        <v>895.9</v>
      </c>
      <c r="AU419" s="1070">
        <v>-1.1000000000000001</v>
      </c>
      <c r="AV419" s="1070"/>
      <c r="AW419" s="1070">
        <f t="shared" si="77"/>
        <v>30</v>
      </c>
      <c r="AX419" s="1070">
        <f>AW419*('Ввод исходных данных'!$D$83-AU419)</f>
        <v>573</v>
      </c>
      <c r="AY419" s="1071">
        <v>6</v>
      </c>
      <c r="AZ419" s="1071"/>
      <c r="BA419" s="1071">
        <f t="shared" si="78"/>
        <v>19.5</v>
      </c>
      <c r="BB419" s="1071">
        <f>BA419*('Ввод исходных данных'!$D$83-AY419)</f>
        <v>234</v>
      </c>
      <c r="BC419" s="1072">
        <v>13.4</v>
      </c>
      <c r="BD419" s="1072"/>
      <c r="BE419" s="1072">
        <f t="shared" si="70"/>
        <v>0</v>
      </c>
      <c r="BF419" s="1073">
        <f>BE419*('Ввод исходных данных'!$D$83-BC419)</f>
        <v>0</v>
      </c>
    </row>
    <row r="420" spans="2:58" ht="15.75" customHeight="1" x14ac:dyDescent="0.25">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5544</v>
      </c>
      <c r="J420" s="1059" t="str">
        <f t="shared" si="69"/>
        <v>5000-6000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84.55</v>
      </c>
      <c r="W420" s="1065">
        <v>1.8</v>
      </c>
      <c r="X420" s="1065"/>
      <c r="Y420" s="1065">
        <f t="shared" si="74"/>
        <v>31</v>
      </c>
      <c r="Z420" s="1065">
        <f>Y420*('Ввод исходных данных'!$D$83-W420)</f>
        <v>502.2</v>
      </c>
      <c r="AA420" s="1066">
        <v>-6.2</v>
      </c>
      <c r="AB420" s="1066"/>
      <c r="AC420" s="1066">
        <f t="shared" si="75"/>
        <v>30</v>
      </c>
      <c r="AD420" s="1066">
        <f>AC420*('Ввод исходных данных'!$D$83-AA420)</f>
        <v>726</v>
      </c>
      <c r="AE420" s="1067">
        <v>-12.6</v>
      </c>
      <c r="AF420" s="1067"/>
      <c r="AG420" s="1067">
        <v>31</v>
      </c>
      <c r="AH420" s="1067">
        <f>AG420*('Ввод исходных данных'!$D$83-AE420)</f>
        <v>948.6</v>
      </c>
      <c r="AI420" s="1068">
        <v>-14.9</v>
      </c>
      <c r="AJ420" s="1068"/>
      <c r="AK420" s="1068">
        <v>31</v>
      </c>
      <c r="AL420" s="1068">
        <f>AK420*('Ввод исходных данных'!$D$83-AI420)</f>
        <v>1019.9</v>
      </c>
      <c r="AM420" s="1069">
        <v>-14</v>
      </c>
      <c r="AN420" s="1069"/>
      <c r="AO420" s="1069">
        <v>28</v>
      </c>
      <c r="AP420" s="1069">
        <f>AO420*('Ввод исходных данных'!$D$83-AM420)</f>
        <v>896</v>
      </c>
      <c r="AQ420" s="1064">
        <v>-8</v>
      </c>
      <c r="AR420" s="1064"/>
      <c r="AS420" s="1064">
        <f t="shared" si="76"/>
        <v>31</v>
      </c>
      <c r="AT420" s="1064">
        <f>AS420*('Ввод исходных данных'!$D$83-AQ420)</f>
        <v>806</v>
      </c>
      <c r="AU420" s="1070">
        <v>2</v>
      </c>
      <c r="AV420" s="1070"/>
      <c r="AW420" s="1070">
        <f t="shared" si="77"/>
        <v>30</v>
      </c>
      <c r="AX420" s="1070">
        <f>AW420*('Ввод исходных данных'!$D$83-AU420)</f>
        <v>480</v>
      </c>
      <c r="AY420" s="1071">
        <v>9.9</v>
      </c>
      <c r="AZ420" s="1071"/>
      <c r="BA420" s="1071">
        <f t="shared" si="78"/>
        <v>9.5</v>
      </c>
      <c r="BB420" s="1071">
        <f>BA420*('Ввод исходных данных'!$D$83-AY420)</f>
        <v>76.95</v>
      </c>
      <c r="BC420" s="1072">
        <v>15.8</v>
      </c>
      <c r="BD420" s="1072"/>
      <c r="BE420" s="1072">
        <f t="shared" si="70"/>
        <v>0</v>
      </c>
      <c r="BF420" s="1073">
        <f>BE420*('Ввод исходных данных'!$D$83-BC420)</f>
        <v>0</v>
      </c>
    </row>
    <row r="421" spans="2:58" ht="15.75" customHeight="1" x14ac:dyDescent="0.25">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5168.4000000000005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27.650000000000002</v>
      </c>
      <c r="W421" s="1065">
        <v>2.7</v>
      </c>
      <c r="X421" s="1065"/>
      <c r="Y421" s="1065">
        <f t="shared" si="74"/>
        <v>31</v>
      </c>
      <c r="Z421" s="1065">
        <f>Y421*('Ввод исходных данных'!$D$83-W421)</f>
        <v>474.3</v>
      </c>
      <c r="AA421" s="1066">
        <v>-4.9000000000000004</v>
      </c>
      <c r="AB421" s="1066"/>
      <c r="AC421" s="1066">
        <f t="shared" si="75"/>
        <v>30</v>
      </c>
      <c r="AD421" s="1066">
        <f>AC421*('Ввод исходных данных'!$D$83-AA421)</f>
        <v>687</v>
      </c>
      <c r="AE421" s="1067">
        <v>-10.9</v>
      </c>
      <c r="AF421" s="1067"/>
      <c r="AG421" s="1067">
        <v>31</v>
      </c>
      <c r="AH421" s="1067">
        <f>AG421*('Ввод исходных данных'!$D$83-AE421)</f>
        <v>895.9</v>
      </c>
      <c r="AI421" s="1068">
        <v>-13.4</v>
      </c>
      <c r="AJ421" s="1068"/>
      <c r="AK421" s="1068">
        <v>31</v>
      </c>
      <c r="AL421" s="1068">
        <f>AK421*('Ввод исходных данных'!$D$83-AI421)</f>
        <v>973.4</v>
      </c>
      <c r="AM421" s="1069">
        <v>-12.3</v>
      </c>
      <c r="AN421" s="1069"/>
      <c r="AO421" s="1069">
        <v>28</v>
      </c>
      <c r="AP421" s="1069">
        <f>AO421*('Ввод исходных данных'!$D$83-AM421)</f>
        <v>848.4</v>
      </c>
      <c r="AQ421" s="1064">
        <v>-5.0999999999999996</v>
      </c>
      <c r="AR421" s="1064"/>
      <c r="AS421" s="1064">
        <f t="shared" si="76"/>
        <v>31</v>
      </c>
      <c r="AT421" s="1064">
        <f>AS421*('Ввод исходных данных'!$D$83-AQ421)</f>
        <v>716.1</v>
      </c>
      <c r="AU421" s="1070">
        <v>3.8</v>
      </c>
      <c r="AV421" s="1070"/>
      <c r="AW421" s="1070">
        <f t="shared" si="77"/>
        <v>30</v>
      </c>
      <c r="AX421" s="1070">
        <f>AW421*('Ввод исходных данных'!$D$83-AU421)</f>
        <v>426</v>
      </c>
      <c r="AY421" s="1071">
        <v>11.7</v>
      </c>
      <c r="AZ421" s="1071"/>
      <c r="BA421" s="1071">
        <f t="shared" si="78"/>
        <v>3.5</v>
      </c>
      <c r="BB421" s="1071">
        <f>BA421*('Ввод исходных данных'!$D$83-AY421)</f>
        <v>22.050000000000004</v>
      </c>
      <c r="BC421" s="1072">
        <v>16.5</v>
      </c>
      <c r="BD421" s="1072"/>
      <c r="BE421" s="1072">
        <f t="shared" si="70"/>
        <v>0</v>
      </c>
      <c r="BF421" s="1073">
        <f>BE421*('Ввод исходных данных'!$D$83-BC421)</f>
        <v>0</v>
      </c>
    </row>
    <row r="422" spans="2:58" ht="15.75" customHeight="1" x14ac:dyDescent="0.25">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5074</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11.100000000000001</v>
      </c>
      <c r="W422" s="1065">
        <v>3.1</v>
      </c>
      <c r="X422" s="1065"/>
      <c r="Y422" s="1065">
        <f t="shared" si="74"/>
        <v>31</v>
      </c>
      <c r="Z422" s="1065">
        <f>Y422*('Ввод исходных данных'!$D$83-W422)</f>
        <v>461.90000000000003</v>
      </c>
      <c r="AA422" s="1066">
        <v>-4.5999999999999996</v>
      </c>
      <c r="AB422" s="1066"/>
      <c r="AC422" s="1066">
        <f t="shared" si="75"/>
        <v>30</v>
      </c>
      <c r="AD422" s="1066">
        <f>AC422*('Ввод исходных данных'!$D$83-AA422)</f>
        <v>678</v>
      </c>
      <c r="AE422" s="1067">
        <v>-10.6</v>
      </c>
      <c r="AF422" s="1067"/>
      <c r="AG422" s="1067">
        <v>31</v>
      </c>
      <c r="AH422" s="1067">
        <f>AG422*('Ввод исходных данных'!$D$83-AE422)</f>
        <v>886.6</v>
      </c>
      <c r="AI422" s="1068">
        <v>-13.2</v>
      </c>
      <c r="AJ422" s="1068"/>
      <c r="AK422" s="1068">
        <v>31</v>
      </c>
      <c r="AL422" s="1068">
        <f>AK422*('Ввод исходных данных'!$D$83-AI422)</f>
        <v>967.19999999999993</v>
      </c>
      <c r="AM422" s="1069">
        <v>-12.1</v>
      </c>
      <c r="AN422" s="1069"/>
      <c r="AO422" s="1069">
        <v>28</v>
      </c>
      <c r="AP422" s="1069">
        <f>AO422*('Ввод исходных данных'!$D$83-AM422)</f>
        <v>842.80000000000007</v>
      </c>
      <c r="AQ422" s="1064">
        <v>-5</v>
      </c>
      <c r="AR422" s="1064"/>
      <c r="AS422" s="1064">
        <f t="shared" si="76"/>
        <v>31</v>
      </c>
      <c r="AT422" s="1064">
        <f>AS422*('Ввод исходных данных'!$D$83-AQ422)</f>
        <v>713</v>
      </c>
      <c r="AU422" s="1070">
        <v>4.2</v>
      </c>
      <c r="AV422" s="1070"/>
      <c r="AW422" s="1070">
        <f t="shared" si="77"/>
        <v>30</v>
      </c>
      <c r="AX422" s="1070">
        <f>AW422*('Ввод исходных данных'!$D$83-AU422)</f>
        <v>414</v>
      </c>
      <c r="AY422" s="1071">
        <v>12.2</v>
      </c>
      <c r="AZ422" s="1071"/>
      <c r="BA422" s="1071">
        <f t="shared" si="78"/>
        <v>1.5</v>
      </c>
      <c r="BB422" s="1071">
        <f>BA422*('Ввод исходных данных'!$D$83-AY422)</f>
        <v>8.7000000000000011</v>
      </c>
      <c r="BC422" s="1072">
        <v>17</v>
      </c>
      <c r="BD422" s="1072"/>
      <c r="BE422" s="1072">
        <f t="shared" si="70"/>
        <v>0</v>
      </c>
      <c r="BF422" s="1073">
        <f>BE422*('Ввод исходных данных'!$D$83-BC422)</f>
        <v>0</v>
      </c>
    </row>
    <row r="423" spans="2:58" ht="15.75" customHeight="1" x14ac:dyDescent="0.25">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4810.8</v>
      </c>
      <c r="J423" s="1059" t="str">
        <f t="shared" si="69"/>
        <v>4000-5000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432</v>
      </c>
      <c r="AA423" s="1066">
        <v>-3.1</v>
      </c>
      <c r="AB423" s="1066"/>
      <c r="AC423" s="1066">
        <f t="shared" si="75"/>
        <v>30</v>
      </c>
      <c r="AD423" s="1066">
        <f>AC423*('Ввод исходных данных'!$D$83-AA423)</f>
        <v>633</v>
      </c>
      <c r="AE423" s="1067">
        <v>-8.9</v>
      </c>
      <c r="AF423" s="1067"/>
      <c r="AG423" s="1067">
        <v>31</v>
      </c>
      <c r="AH423" s="1067">
        <f>AG423*('Ввод исходных данных'!$D$83-AE423)</f>
        <v>833.9</v>
      </c>
      <c r="AI423" s="1068">
        <v>-13.2</v>
      </c>
      <c r="AJ423" s="1068"/>
      <c r="AK423" s="1068">
        <v>31</v>
      </c>
      <c r="AL423" s="1068">
        <f>AK423*('Ввод исходных данных'!$D$83-AI423)</f>
        <v>967.19999999999993</v>
      </c>
      <c r="AM423" s="1069">
        <v>-12.5</v>
      </c>
      <c r="AN423" s="1069"/>
      <c r="AO423" s="1069">
        <v>28</v>
      </c>
      <c r="AP423" s="1069">
        <f>AO423*('Ввод исходных данных'!$D$83-AM423)</f>
        <v>854</v>
      </c>
      <c r="AQ423" s="1064">
        <v>-6.1</v>
      </c>
      <c r="AR423" s="1064"/>
      <c r="AS423" s="1064">
        <f t="shared" si="76"/>
        <v>31</v>
      </c>
      <c r="AT423" s="1064">
        <f>AS423*('Ввод исходных данных'!$D$83-AQ423)</f>
        <v>747.1</v>
      </c>
      <c r="AU423" s="1070">
        <v>4.8</v>
      </c>
      <c r="AV423" s="1070"/>
      <c r="AW423" s="1070">
        <f t="shared" si="77"/>
        <v>30</v>
      </c>
      <c r="AX423" s="1070">
        <f>AW423*('Ввод исходных данных'!$D$83-AU423)</f>
        <v>396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25">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4960.7999999999993</v>
      </c>
      <c r="J424" s="1059" t="str">
        <f t="shared" si="69"/>
        <v>4000-5000</v>
      </c>
      <c r="K424" s="1060">
        <v>19.600000000000001</v>
      </c>
      <c r="L424" s="1060"/>
      <c r="M424" s="1061">
        <f t="shared" si="71"/>
        <v>0.5</v>
      </c>
      <c r="N424" s="1062">
        <f>M424*('Ввод исходных данных'!$D$83-K424)</f>
        <v>-0.80000000000000071</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433.09999999999997</v>
      </c>
      <c r="AA424" s="1066">
        <v>-4.0999999999999996</v>
      </c>
      <c r="AB424" s="1066"/>
      <c r="AC424" s="1066">
        <f t="shared" si="75"/>
        <v>30</v>
      </c>
      <c r="AD424" s="1066">
        <f>AC424*('Ввод исходных данных'!$D$83-AA424)</f>
        <v>663</v>
      </c>
      <c r="AE424" s="1067">
        <v>-10.4</v>
      </c>
      <c r="AF424" s="1067"/>
      <c r="AG424" s="1067">
        <v>31</v>
      </c>
      <c r="AH424" s="1067">
        <f>AG424*('Ввод исходных данных'!$D$83-AE424)</f>
        <v>880.4</v>
      </c>
      <c r="AI424" s="1068">
        <v>-13.8</v>
      </c>
      <c r="AJ424" s="1068"/>
      <c r="AK424" s="1068">
        <v>31</v>
      </c>
      <c r="AL424" s="1068">
        <f>AK424*('Ввод исходных данных'!$D$83-AI424)</f>
        <v>985.80000000000007</v>
      </c>
      <c r="AM424" s="1069">
        <v>-13.2</v>
      </c>
      <c r="AN424" s="1069"/>
      <c r="AO424" s="1069">
        <v>28</v>
      </c>
      <c r="AP424" s="1069">
        <f>AO424*('Ввод исходных данных'!$D$83-AM424)</f>
        <v>873.6</v>
      </c>
      <c r="AQ424" s="1064">
        <v>-6.8</v>
      </c>
      <c r="AR424" s="1064"/>
      <c r="AS424" s="1064">
        <f t="shared" si="76"/>
        <v>31</v>
      </c>
      <c r="AT424" s="1064">
        <f>AS424*('Ввод исходных данных'!$D$83-AQ424)</f>
        <v>768.80000000000007</v>
      </c>
      <c r="AU424" s="1070">
        <v>4.0999999999999996</v>
      </c>
      <c r="AV424" s="1070"/>
      <c r="AW424" s="1070">
        <f t="shared" si="77"/>
        <v>30</v>
      </c>
      <c r="AX424" s="1070">
        <f>AW424*('Ввод исходных данных'!$D$83-AU424)</f>
        <v>417</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25">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7061.2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12.000000000000002</v>
      </c>
      <c r="S425" s="1064">
        <v>9.6</v>
      </c>
      <c r="T425" s="1064"/>
      <c r="U425" s="1064">
        <f t="shared" si="73"/>
        <v>30</v>
      </c>
      <c r="V425" s="1064">
        <f>U425*('Ввод исходных данных'!$D$83-S425)</f>
        <v>252</v>
      </c>
      <c r="W425" s="1065">
        <v>0.4</v>
      </c>
      <c r="X425" s="1065"/>
      <c r="Y425" s="1065">
        <f t="shared" si="74"/>
        <v>31</v>
      </c>
      <c r="Z425" s="1065">
        <f>Y425*('Ввод исходных данных'!$D$83-W425)</f>
        <v>545.6</v>
      </c>
      <c r="AA425" s="1066">
        <v>-11</v>
      </c>
      <c r="AB425" s="1066"/>
      <c r="AC425" s="1066">
        <f t="shared" si="75"/>
        <v>30</v>
      </c>
      <c r="AD425" s="1066">
        <f>AC425*('Ввод исходных данных'!$D$83-AA425)</f>
        <v>870</v>
      </c>
      <c r="AE425" s="1067">
        <v>-17.399999999999999</v>
      </c>
      <c r="AF425" s="1067"/>
      <c r="AG425" s="1067">
        <v>31</v>
      </c>
      <c r="AH425" s="1067">
        <f>AG425*('Ввод исходных данных'!$D$83-AE425)</f>
        <v>1097.3999999999999</v>
      </c>
      <c r="AI425" s="1068">
        <v>-19.7</v>
      </c>
      <c r="AJ425" s="1068"/>
      <c r="AK425" s="1068">
        <v>31</v>
      </c>
      <c r="AL425" s="1068">
        <f>AK425*('Ввод исходных данных'!$D$83-AI425)</f>
        <v>1168.7</v>
      </c>
      <c r="AM425" s="1069">
        <v>-17.600000000000001</v>
      </c>
      <c r="AN425" s="1069"/>
      <c r="AO425" s="1069">
        <v>28</v>
      </c>
      <c r="AP425" s="1069">
        <f>AO425*('Ввод исходных данных'!$D$83-AM425)</f>
        <v>996.80000000000007</v>
      </c>
      <c r="AQ425" s="1064">
        <v>-11.6</v>
      </c>
      <c r="AR425" s="1064"/>
      <c r="AS425" s="1064">
        <f t="shared" si="76"/>
        <v>31</v>
      </c>
      <c r="AT425" s="1064">
        <f>AS425*('Ввод исходных данных'!$D$83-AQ425)</f>
        <v>917.6</v>
      </c>
      <c r="AU425" s="1070">
        <v>-3.8</v>
      </c>
      <c r="AV425" s="1070"/>
      <c r="AW425" s="1070">
        <f t="shared" si="77"/>
        <v>30</v>
      </c>
      <c r="AX425" s="1070">
        <f>AW425*('Ввод исходных данных'!$D$83-AU425)</f>
        <v>654</v>
      </c>
      <c r="AY425" s="1071">
        <v>0.8</v>
      </c>
      <c r="AZ425" s="1071"/>
      <c r="BA425" s="1071">
        <f t="shared" si="78"/>
        <v>31</v>
      </c>
      <c r="BB425" s="1071">
        <f>BA425*('Ввод исходных данных'!$D$83-AY425)</f>
        <v>533.19999999999993</v>
      </c>
      <c r="BC425" s="1072">
        <v>5.6</v>
      </c>
      <c r="BD425" s="1072"/>
      <c r="BE425" s="1072">
        <f t="shared" si="70"/>
        <v>2.5</v>
      </c>
      <c r="BF425" s="1073">
        <f>BE425*('Ввод исходных данных'!$D$83-BC425)</f>
        <v>31</v>
      </c>
    </row>
    <row r="426" spans="2:58" ht="15.75" customHeight="1" x14ac:dyDescent="0.25">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6885</v>
      </c>
      <c r="J426" s="1059" t="str">
        <f t="shared" si="69"/>
        <v>6000-7000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129</v>
      </c>
      <c r="W426" s="1065">
        <v>3.4</v>
      </c>
      <c r="X426" s="1065"/>
      <c r="Y426" s="1065">
        <f t="shared" si="74"/>
        <v>31</v>
      </c>
      <c r="Z426" s="1065">
        <f>Y426*('Ввод исходных данных'!$D$83-W426)</f>
        <v>452.59999999999997</v>
      </c>
      <c r="AA426" s="1066">
        <v>-7.1</v>
      </c>
      <c r="AB426" s="1066"/>
      <c r="AC426" s="1066">
        <f t="shared" si="75"/>
        <v>30</v>
      </c>
      <c r="AD426" s="1066">
        <f>AC426*('Ввод исходных данных'!$D$83-AA426)</f>
        <v>753</v>
      </c>
      <c r="AE426" s="1067">
        <v>-16.600000000000001</v>
      </c>
      <c r="AF426" s="1067"/>
      <c r="AG426" s="1067">
        <v>31</v>
      </c>
      <c r="AH426" s="1067">
        <f>AG426*('Ввод исходных данных'!$D$83-AE426)</f>
        <v>1072.6000000000001</v>
      </c>
      <c r="AI426" s="1068">
        <v>-21.7</v>
      </c>
      <c r="AJ426" s="1068"/>
      <c r="AK426" s="1068">
        <v>31</v>
      </c>
      <c r="AL426" s="1068">
        <f>AK426*('Ввод исходных данных'!$D$83-AI426)</f>
        <v>1230.7</v>
      </c>
      <c r="AM426" s="1069">
        <v>-20.2</v>
      </c>
      <c r="AN426" s="1069"/>
      <c r="AO426" s="1069">
        <v>28</v>
      </c>
      <c r="AP426" s="1069">
        <f>AO426*('Ввод исходных данных'!$D$83-AM426)</f>
        <v>1069.6000000000001</v>
      </c>
      <c r="AQ426" s="1064">
        <v>-14.5</v>
      </c>
      <c r="AR426" s="1064"/>
      <c r="AS426" s="1064">
        <f t="shared" si="76"/>
        <v>31</v>
      </c>
      <c r="AT426" s="1064">
        <f>AS426*('Ввод исходных данных'!$D$83-AQ426)</f>
        <v>1007.5</v>
      </c>
      <c r="AU426" s="1070">
        <v>-5.2</v>
      </c>
      <c r="AV426" s="1070"/>
      <c r="AW426" s="1070">
        <f t="shared" si="77"/>
        <v>30</v>
      </c>
      <c r="AX426" s="1070">
        <f>AW426*('Ввод исходных данных'!$D$83-AU426)</f>
        <v>696</v>
      </c>
      <c r="AY426" s="1071">
        <v>0.9</v>
      </c>
      <c r="AZ426" s="1071"/>
      <c r="BA426" s="1071">
        <f t="shared" si="78"/>
        <v>21.5</v>
      </c>
      <c r="BB426" s="1071">
        <f>BA426*('Ввод исходных данных'!$D$83-AY426)</f>
        <v>367.65000000000003</v>
      </c>
      <c r="BC426" s="1072">
        <v>9.1</v>
      </c>
      <c r="BD426" s="1072"/>
      <c r="BE426" s="1072">
        <f t="shared" si="70"/>
        <v>0</v>
      </c>
      <c r="BF426" s="1073">
        <f>BE426*('Ввод исходных данных'!$D$83-BC426)</f>
        <v>0</v>
      </c>
    </row>
    <row r="427" spans="2:58" ht="15.75" customHeight="1" x14ac:dyDescent="0.25">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5636.8</v>
      </c>
      <c r="J427" s="1059" t="str">
        <f t="shared" si="69"/>
        <v>5000-6000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384.75</v>
      </c>
      <c r="AA427" s="1066">
        <v>-7.6</v>
      </c>
      <c r="AB427" s="1066"/>
      <c r="AC427" s="1066">
        <f t="shared" si="75"/>
        <v>30</v>
      </c>
      <c r="AD427" s="1066">
        <f>AC427*('Ввод исходных данных'!$D$83-AA427)</f>
        <v>768</v>
      </c>
      <c r="AE427" s="1067">
        <v>-18.3</v>
      </c>
      <c r="AF427" s="1067"/>
      <c r="AG427" s="1067">
        <v>31</v>
      </c>
      <c r="AH427" s="1067">
        <f>AG427*('Ввод исходных данных'!$D$83-AE427)</f>
        <v>1125.3</v>
      </c>
      <c r="AI427" s="1068">
        <v>-22.4</v>
      </c>
      <c r="AJ427" s="1068"/>
      <c r="AK427" s="1068">
        <v>31</v>
      </c>
      <c r="AL427" s="1068">
        <f>AK427*('Ввод исходных данных'!$D$83-AI427)</f>
        <v>1252.3999999999999</v>
      </c>
      <c r="AM427" s="1069">
        <v>-17.399999999999999</v>
      </c>
      <c r="AN427" s="1069"/>
      <c r="AO427" s="1069">
        <v>28</v>
      </c>
      <c r="AP427" s="1069">
        <f>AO427*('Ввод исходных данных'!$D$83-AM427)</f>
        <v>991.19999999999993</v>
      </c>
      <c r="AQ427" s="1064">
        <v>-8.1</v>
      </c>
      <c r="AR427" s="1064"/>
      <c r="AS427" s="1064">
        <f t="shared" si="76"/>
        <v>31</v>
      </c>
      <c r="AT427" s="1064">
        <f>AS427*('Ввод исходных данных'!$D$83-AQ427)</f>
        <v>809.1</v>
      </c>
      <c r="AU427" s="1070">
        <v>4.0999999999999996</v>
      </c>
      <c r="AV427" s="1070"/>
      <c r="AW427" s="1070">
        <f t="shared" si="77"/>
        <v>28.5</v>
      </c>
      <c r="AX427" s="1070">
        <f>AW427*('Ввод исходных данных'!$D$83-AU427)</f>
        <v>396.15000000000003</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25">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5962</v>
      </c>
      <c r="J428" s="1059" t="str">
        <f t="shared" si="69"/>
        <v>5000-6000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24</v>
      </c>
      <c r="W428" s="1065">
        <v>2.6</v>
      </c>
      <c r="X428" s="1065"/>
      <c r="Y428" s="1065">
        <f t="shared" si="74"/>
        <v>31</v>
      </c>
      <c r="Z428" s="1065">
        <f>Y428*('Ввод исходных данных'!$D$83-W428)</f>
        <v>477.40000000000003</v>
      </c>
      <c r="AA428" s="1066">
        <v>-10.1</v>
      </c>
      <c r="AB428" s="1066"/>
      <c r="AC428" s="1066">
        <f t="shared" si="75"/>
        <v>30</v>
      </c>
      <c r="AD428" s="1066">
        <f>AC428*('Ввод исходных данных'!$D$83-AA428)</f>
        <v>843</v>
      </c>
      <c r="AE428" s="1067">
        <v>-19.5</v>
      </c>
      <c r="AF428" s="1067"/>
      <c r="AG428" s="1067">
        <v>31</v>
      </c>
      <c r="AH428" s="1067">
        <f>AG428*('Ввод исходных данных'!$D$83-AE428)</f>
        <v>1162.5</v>
      </c>
      <c r="AI428" s="1068">
        <v>-22</v>
      </c>
      <c r="AJ428" s="1068"/>
      <c r="AK428" s="1068">
        <v>31</v>
      </c>
      <c r="AL428" s="1068">
        <f>AK428*('Ввод исходных данных'!$D$83-AI428)</f>
        <v>1240</v>
      </c>
      <c r="AM428" s="1069">
        <v>-16.600000000000001</v>
      </c>
      <c r="AN428" s="1069"/>
      <c r="AO428" s="1069">
        <v>28</v>
      </c>
      <c r="AP428" s="1069">
        <f>AO428*('Ввод исходных данных'!$D$83-AM428)</f>
        <v>968.80000000000007</v>
      </c>
      <c r="AQ428" s="1064">
        <v>-8.1999999999999993</v>
      </c>
      <c r="AR428" s="1064"/>
      <c r="AS428" s="1064">
        <f t="shared" si="76"/>
        <v>31</v>
      </c>
      <c r="AT428" s="1064">
        <f>AS428*('Ввод исходных данных'!$D$83-AQ428)</f>
        <v>812.19999999999993</v>
      </c>
      <c r="AU428" s="1070">
        <v>2.7</v>
      </c>
      <c r="AV428" s="1070"/>
      <c r="AW428" s="1070">
        <f t="shared" si="77"/>
        <v>30</v>
      </c>
      <c r="AX428" s="1070">
        <f>AW428*('Ввод исходных данных'!$D$83-AU428)</f>
        <v>459</v>
      </c>
      <c r="AY428" s="1071">
        <v>10.199999999999999</v>
      </c>
      <c r="AZ428" s="1071"/>
      <c r="BA428" s="1071">
        <f t="shared" si="78"/>
        <v>4</v>
      </c>
      <c r="BB428" s="1071">
        <f>BA428*('Ввод исходных данных'!$D$83-AY428)</f>
        <v>31.200000000000003</v>
      </c>
      <c r="BC428" s="1072">
        <v>16.5</v>
      </c>
      <c r="BD428" s="1072"/>
      <c r="BE428" s="1072">
        <f t="shared" si="70"/>
        <v>0</v>
      </c>
      <c r="BF428" s="1073">
        <f>BE428*('Ввод исходных данных'!$D$83-BC428)</f>
        <v>0</v>
      </c>
    </row>
    <row r="429" spans="2:58" ht="15.75" customHeight="1" x14ac:dyDescent="0.25">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5814.9000000000005</v>
      </c>
      <c r="J429" s="1059" t="str">
        <f t="shared" si="69"/>
        <v>5000-6000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2.5</v>
      </c>
      <c r="W429" s="1065">
        <v>3.9</v>
      </c>
      <c r="X429" s="1065"/>
      <c r="Y429" s="1065">
        <f t="shared" si="74"/>
        <v>31</v>
      </c>
      <c r="Z429" s="1065">
        <f>Y429*('Ввод исходных данных'!$D$83-W429)</f>
        <v>437.09999999999997</v>
      </c>
      <c r="AA429" s="1066">
        <v>-8.1999999999999993</v>
      </c>
      <c r="AB429" s="1066"/>
      <c r="AC429" s="1066">
        <f t="shared" si="75"/>
        <v>30</v>
      </c>
      <c r="AD429" s="1066">
        <f>AC429*('Ввод исходных данных'!$D$83-AA429)</f>
        <v>786</v>
      </c>
      <c r="AE429" s="1067">
        <v>-18.100000000000001</v>
      </c>
      <c r="AF429" s="1067"/>
      <c r="AG429" s="1067">
        <v>31</v>
      </c>
      <c r="AH429" s="1067">
        <f>AG429*('Ввод исходных данных'!$D$83-AE429)</f>
        <v>1119.1000000000001</v>
      </c>
      <c r="AI429" s="1068">
        <v>-22.3</v>
      </c>
      <c r="AJ429" s="1068"/>
      <c r="AK429" s="1068">
        <v>31</v>
      </c>
      <c r="AL429" s="1068">
        <f>AK429*('Ввод исходных данных'!$D$83-AI429)</f>
        <v>1249.3</v>
      </c>
      <c r="AM429" s="1069">
        <v>-17.8</v>
      </c>
      <c r="AN429" s="1069"/>
      <c r="AO429" s="1069">
        <v>28</v>
      </c>
      <c r="AP429" s="1069">
        <f>AO429*('Ввод исходных данных'!$D$83-AM429)</f>
        <v>1002.3999999999999</v>
      </c>
      <c r="AQ429" s="1064">
        <v>-9</v>
      </c>
      <c r="AR429" s="1064"/>
      <c r="AS429" s="1064">
        <f t="shared" si="76"/>
        <v>31</v>
      </c>
      <c r="AT429" s="1064">
        <f>AS429*('Ввод исходных данных'!$D$83-AQ429)</f>
        <v>837</v>
      </c>
      <c r="AU429" s="1070">
        <v>3.4</v>
      </c>
      <c r="AV429" s="1070"/>
      <c r="AW429" s="1070">
        <f t="shared" si="77"/>
        <v>30</v>
      </c>
      <c r="AX429" s="1070">
        <f>AW429*('Ввод исходных данных'!$D$83-AU429)</f>
        <v>438</v>
      </c>
      <c r="AY429" s="1071">
        <v>11.3</v>
      </c>
      <c r="AZ429" s="1071"/>
      <c r="BA429" s="1071">
        <f t="shared" si="78"/>
        <v>0.5</v>
      </c>
      <c r="BB429" s="1071">
        <f>BA429*('Ввод исходных данных'!$D$83-AY429)</f>
        <v>3.3499999999999996</v>
      </c>
      <c r="BC429" s="1072">
        <v>17.100000000000001</v>
      </c>
      <c r="BD429" s="1072"/>
      <c r="BE429" s="1072">
        <f t="shared" si="70"/>
        <v>0</v>
      </c>
      <c r="BF429" s="1073">
        <f>BE429*('Ввод исходных данных'!$D$83-BC429)</f>
        <v>0</v>
      </c>
    </row>
    <row r="430" spans="2:58" ht="15.75" customHeight="1" x14ac:dyDescent="0.25">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6475.2</v>
      </c>
      <c r="J430" s="1059" t="str">
        <f t="shared" si="69"/>
        <v>6000-7000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52.8</v>
      </c>
      <c r="W430" s="1065">
        <v>1.5</v>
      </c>
      <c r="X430" s="1065"/>
      <c r="Y430" s="1065">
        <f t="shared" si="74"/>
        <v>31</v>
      </c>
      <c r="Z430" s="1065">
        <f>Y430*('Ввод исходных данных'!$D$83-W430)</f>
        <v>511.5</v>
      </c>
      <c r="AA430" s="1066">
        <v>-10.8</v>
      </c>
      <c r="AB430" s="1066"/>
      <c r="AC430" s="1066">
        <f t="shared" si="75"/>
        <v>30</v>
      </c>
      <c r="AD430" s="1066">
        <f>AC430*('Ввод исходных данных'!$D$83-AA430)</f>
        <v>864</v>
      </c>
      <c r="AE430" s="1067">
        <v>-20.8</v>
      </c>
      <c r="AF430" s="1067"/>
      <c r="AG430" s="1067">
        <v>31</v>
      </c>
      <c r="AH430" s="1067">
        <f>AG430*('Ввод исходных данных'!$D$83-AE430)</f>
        <v>1202.8</v>
      </c>
      <c r="AI430" s="1068">
        <v>-24.9</v>
      </c>
      <c r="AJ430" s="1068"/>
      <c r="AK430" s="1068">
        <v>31</v>
      </c>
      <c r="AL430" s="1068">
        <f>AK430*('Ввод исходных данных'!$D$83-AI430)</f>
        <v>1329.8999999999999</v>
      </c>
      <c r="AM430" s="1069">
        <v>-20.100000000000001</v>
      </c>
      <c r="AN430" s="1069"/>
      <c r="AO430" s="1069">
        <v>28</v>
      </c>
      <c r="AP430" s="1069">
        <f>AO430*('Ввод исходных данных'!$D$83-AM430)</f>
        <v>1066.8</v>
      </c>
      <c r="AQ430" s="1064">
        <v>-10.6</v>
      </c>
      <c r="AR430" s="1064"/>
      <c r="AS430" s="1064">
        <f t="shared" si="76"/>
        <v>31</v>
      </c>
      <c r="AT430" s="1064">
        <f>AS430*('Ввод исходных данных'!$D$83-AQ430)</f>
        <v>886.6</v>
      </c>
      <c r="AU430" s="1070">
        <v>1.3</v>
      </c>
      <c r="AV430" s="1070"/>
      <c r="AW430" s="1070">
        <f t="shared" si="77"/>
        <v>30</v>
      </c>
      <c r="AX430" s="1070">
        <f>AW430*('Ввод исходных данных'!$D$83-AU430)</f>
        <v>501</v>
      </c>
      <c r="AY430" s="1071">
        <v>9.1</v>
      </c>
      <c r="AZ430" s="1071"/>
      <c r="BA430" s="1071">
        <f t="shared" si="78"/>
        <v>8</v>
      </c>
      <c r="BB430" s="1071">
        <f>BA430*('Ввод исходных данных'!$D$83-AY430)</f>
        <v>71.2</v>
      </c>
      <c r="BC430" s="1072">
        <v>15.6</v>
      </c>
      <c r="BD430" s="1072"/>
      <c r="BE430" s="1072">
        <f t="shared" si="70"/>
        <v>0</v>
      </c>
      <c r="BF430" s="1073">
        <f>BE430*('Ввод исходных данных'!$D$83-BC430)</f>
        <v>0</v>
      </c>
    </row>
    <row r="431" spans="2:58" ht="15.75" customHeight="1" x14ac:dyDescent="0.25">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5530.4000000000005</v>
      </c>
      <c r="J431" s="1059" t="str">
        <f t="shared" si="69"/>
        <v>5000-6000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88.2</v>
      </c>
      <c r="W431" s="1065">
        <v>5.9</v>
      </c>
      <c r="X431" s="1065"/>
      <c r="Y431" s="1065">
        <f t="shared" si="74"/>
        <v>31</v>
      </c>
      <c r="Z431" s="1065">
        <f>Y431*('Ввод исходных данных'!$D$83-W431)</f>
        <v>375.09999999999997</v>
      </c>
      <c r="AA431" s="1066">
        <v>-4</v>
      </c>
      <c r="AB431" s="1066"/>
      <c r="AC431" s="1066">
        <f t="shared" si="75"/>
        <v>30</v>
      </c>
      <c r="AD431" s="1066">
        <f>AC431*('Ввод исходных данных'!$D$83-AA431)</f>
        <v>660</v>
      </c>
      <c r="AE431" s="1067">
        <v>-11.8</v>
      </c>
      <c r="AF431" s="1067"/>
      <c r="AG431" s="1067">
        <v>31</v>
      </c>
      <c r="AH431" s="1067">
        <f>AG431*('Ввод исходных данных'!$D$83-AE431)</f>
        <v>923.80000000000007</v>
      </c>
      <c r="AI431" s="1068">
        <v>-14.8</v>
      </c>
      <c r="AJ431" s="1068"/>
      <c r="AK431" s="1068">
        <v>31</v>
      </c>
      <c r="AL431" s="1068">
        <f>AK431*('Ввод исходных данных'!$D$83-AI431)</f>
        <v>1016.8</v>
      </c>
      <c r="AM431" s="1069">
        <v>-11.9</v>
      </c>
      <c r="AN431" s="1069"/>
      <c r="AO431" s="1069">
        <v>28</v>
      </c>
      <c r="AP431" s="1069">
        <f>AO431*('Ввод исходных данных'!$D$83-AM431)</f>
        <v>837.19999999999993</v>
      </c>
      <c r="AQ431" s="1064">
        <v>-6</v>
      </c>
      <c r="AR431" s="1064"/>
      <c r="AS431" s="1064">
        <f t="shared" si="76"/>
        <v>31</v>
      </c>
      <c r="AT431" s="1064">
        <f>AS431*('Ввод исходных данных'!$D$83-AQ431)</f>
        <v>744</v>
      </c>
      <c r="AU431" s="1070">
        <v>0.4</v>
      </c>
      <c r="AV431" s="1070"/>
      <c r="AW431" s="1070">
        <f t="shared" si="77"/>
        <v>30</v>
      </c>
      <c r="AX431" s="1070">
        <f>AW431*('Ввод исходных данных'!$D$83-AU431)</f>
        <v>528</v>
      </c>
      <c r="AY431" s="1071">
        <v>4.3</v>
      </c>
      <c r="AZ431" s="1071"/>
      <c r="BA431" s="1071">
        <f t="shared" si="78"/>
        <v>18</v>
      </c>
      <c r="BB431" s="1071">
        <f>BA431*('Ввод исходных данных'!$D$83-AY431)</f>
        <v>246.6</v>
      </c>
      <c r="BC431" s="1072">
        <v>8.4</v>
      </c>
      <c r="BD431" s="1072"/>
      <c r="BE431" s="1072">
        <f t="shared" si="70"/>
        <v>0</v>
      </c>
      <c r="BF431" s="1073">
        <f>BE431*('Ввод исходных данных'!$D$83-BC431)</f>
        <v>0</v>
      </c>
    </row>
    <row r="432" spans="2:58" ht="15.75" customHeight="1" x14ac:dyDescent="0.25">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6374.4</v>
      </c>
      <c r="J432" s="1059" t="str">
        <f t="shared" si="69"/>
        <v>6000-7000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132</v>
      </c>
      <c r="W432" s="1065">
        <v>3.2</v>
      </c>
      <c r="X432" s="1065"/>
      <c r="Y432" s="1065">
        <f t="shared" si="74"/>
        <v>31</v>
      </c>
      <c r="Z432" s="1065">
        <f>Y432*('Ввод исходных данных'!$D$83-W432)</f>
        <v>458.8</v>
      </c>
      <c r="AA432" s="1066">
        <v>-8.1</v>
      </c>
      <c r="AB432" s="1066"/>
      <c r="AC432" s="1066">
        <f t="shared" si="75"/>
        <v>30</v>
      </c>
      <c r="AD432" s="1066">
        <f>AC432*('Ввод исходных данных'!$D$83-AA432)</f>
        <v>783</v>
      </c>
      <c r="AE432" s="1067">
        <v>-16.2</v>
      </c>
      <c r="AF432" s="1067"/>
      <c r="AG432" s="1067">
        <v>31</v>
      </c>
      <c r="AH432" s="1067">
        <f>AG432*('Ввод исходных данных'!$D$83-AE432)</f>
        <v>1060.2</v>
      </c>
      <c r="AI432" s="1068">
        <v>-19.399999999999999</v>
      </c>
      <c r="AJ432" s="1068"/>
      <c r="AK432" s="1068">
        <v>31</v>
      </c>
      <c r="AL432" s="1068">
        <f>AK432*('Ввод исходных данных'!$D$83-AI432)</f>
        <v>1159.3999999999999</v>
      </c>
      <c r="AM432" s="1069">
        <v>-15.8</v>
      </c>
      <c r="AN432" s="1069"/>
      <c r="AO432" s="1069">
        <v>28</v>
      </c>
      <c r="AP432" s="1069">
        <f>AO432*('Ввод исходных данных'!$D$83-AM432)</f>
        <v>946.39999999999986</v>
      </c>
      <c r="AQ432" s="1064">
        <v>-9.3000000000000007</v>
      </c>
      <c r="AR432" s="1064"/>
      <c r="AS432" s="1064">
        <f t="shared" si="76"/>
        <v>31</v>
      </c>
      <c r="AT432" s="1064">
        <f>AS432*('Ввод исходных данных'!$D$83-AQ432)</f>
        <v>846.30000000000007</v>
      </c>
      <c r="AU432" s="1070">
        <v>-1.5</v>
      </c>
      <c r="AV432" s="1070"/>
      <c r="AW432" s="1070">
        <f t="shared" si="77"/>
        <v>30</v>
      </c>
      <c r="AX432" s="1070">
        <f>AW432*('Ввод исходных данных'!$D$83-AU432)</f>
        <v>585</v>
      </c>
      <c r="AY432" s="1071">
        <v>3.2</v>
      </c>
      <c r="AZ432" s="1071"/>
      <c r="BA432" s="1071">
        <f t="shared" si="78"/>
        <v>22</v>
      </c>
      <c r="BB432" s="1071">
        <f>BA432*('Ввод исходных данных'!$D$83-AY432)</f>
        <v>325.60000000000002</v>
      </c>
      <c r="BC432" s="1072">
        <v>8.5</v>
      </c>
      <c r="BD432" s="1072"/>
      <c r="BE432" s="1072">
        <f t="shared" si="70"/>
        <v>0</v>
      </c>
      <c r="BF432" s="1073">
        <f>BE432*('Ввод исходных данных'!$D$83-BC432)</f>
        <v>0</v>
      </c>
    </row>
    <row r="433" spans="2:58" ht="15.75" customHeight="1" x14ac:dyDescent="0.25">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6526.7999999999993</v>
      </c>
      <c r="J433" s="1059" t="str">
        <f t="shared" si="69"/>
        <v>6000-7000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132</v>
      </c>
      <c r="W433" s="1065">
        <v>2.8</v>
      </c>
      <c r="X433" s="1065"/>
      <c r="Y433" s="1065">
        <f t="shared" si="74"/>
        <v>31</v>
      </c>
      <c r="Z433" s="1065">
        <f>Y433*('Ввод исходных данных'!$D$83-W433)</f>
        <v>471.2</v>
      </c>
      <c r="AA433" s="1066">
        <v>-8.3000000000000007</v>
      </c>
      <c r="AB433" s="1066"/>
      <c r="AC433" s="1066">
        <f t="shared" si="75"/>
        <v>30</v>
      </c>
      <c r="AD433" s="1066">
        <f>AC433*('Ввод исходных данных'!$D$83-AA433)</f>
        <v>789</v>
      </c>
      <c r="AE433" s="1067">
        <v>-16.8</v>
      </c>
      <c r="AF433" s="1067"/>
      <c r="AG433" s="1067">
        <v>31</v>
      </c>
      <c r="AH433" s="1067">
        <f>AG433*('Ввод исходных данных'!$D$83-AE433)</f>
        <v>1078.8</v>
      </c>
      <c r="AI433" s="1068">
        <v>-19.7</v>
      </c>
      <c r="AJ433" s="1068"/>
      <c r="AK433" s="1068">
        <v>31</v>
      </c>
      <c r="AL433" s="1068">
        <f>AK433*('Ввод исходных данных'!$D$83-AI433)</f>
        <v>1168.7</v>
      </c>
      <c r="AM433" s="1069">
        <v>-17.5</v>
      </c>
      <c r="AN433" s="1069"/>
      <c r="AO433" s="1069">
        <v>28</v>
      </c>
      <c r="AP433" s="1069">
        <f>AO433*('Ввод исходных данных'!$D$83-AM433)</f>
        <v>994</v>
      </c>
      <c r="AQ433" s="1064">
        <v>-11</v>
      </c>
      <c r="AR433" s="1064"/>
      <c r="AS433" s="1064">
        <f t="shared" si="76"/>
        <v>31</v>
      </c>
      <c r="AT433" s="1064">
        <f>AS433*('Ввод исходных данных'!$D$83-AQ433)</f>
        <v>899</v>
      </c>
      <c r="AU433" s="1070">
        <v>-2.5</v>
      </c>
      <c r="AV433" s="1070"/>
      <c r="AW433" s="1070">
        <f t="shared" si="77"/>
        <v>30</v>
      </c>
      <c r="AX433" s="1070">
        <f>AW433*('Ввод исходных данных'!$D$83-AU433)</f>
        <v>615</v>
      </c>
      <c r="AY433" s="1071">
        <v>3.1</v>
      </c>
      <c r="AZ433" s="1071"/>
      <c r="BA433" s="1071">
        <f t="shared" si="78"/>
        <v>20</v>
      </c>
      <c r="BB433" s="1071">
        <f>BA433*('Ввод исходных данных'!$D$83-AY433)</f>
        <v>298</v>
      </c>
      <c r="BC433" s="1072">
        <v>11.5</v>
      </c>
      <c r="BD433" s="1072"/>
      <c r="BE433" s="1072">
        <f t="shared" si="70"/>
        <v>0</v>
      </c>
      <c r="BF433" s="1073">
        <f>BE433*('Ввод исходных данных'!$D$83-BC433)</f>
        <v>0</v>
      </c>
    </row>
    <row r="434" spans="2:58" ht="15.75" customHeight="1" x14ac:dyDescent="0.25">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5569.2</v>
      </c>
      <c r="J434" s="1059" t="str">
        <f t="shared" si="69"/>
        <v>5000-6000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363.04999999999995</v>
      </c>
      <c r="AA434" s="1066">
        <v>-7.8</v>
      </c>
      <c r="AB434" s="1066"/>
      <c r="AC434" s="1066">
        <f t="shared" si="75"/>
        <v>30</v>
      </c>
      <c r="AD434" s="1066">
        <f>AC434*('Ввод исходных данных'!$D$83-AA434)</f>
        <v>774</v>
      </c>
      <c r="AE434" s="1067">
        <v>-17.7</v>
      </c>
      <c r="AF434" s="1067"/>
      <c r="AG434" s="1067">
        <v>31</v>
      </c>
      <c r="AH434" s="1067">
        <f>AG434*('Ввод исходных данных'!$D$83-AE434)</f>
        <v>1106.7</v>
      </c>
      <c r="AI434" s="1068">
        <v>-19.8</v>
      </c>
      <c r="AJ434" s="1068"/>
      <c r="AK434" s="1068">
        <v>31</v>
      </c>
      <c r="AL434" s="1068">
        <f>AK434*('Ввод исходных данных'!$D$83-AI434)</f>
        <v>1171.8</v>
      </c>
      <c r="AM434" s="1069">
        <v>-15.1</v>
      </c>
      <c r="AN434" s="1069"/>
      <c r="AO434" s="1069">
        <v>28</v>
      </c>
      <c r="AP434" s="1069">
        <f>AO434*('Ввод исходных данных'!$D$83-AM434)</f>
        <v>926.80000000000007</v>
      </c>
      <c r="AQ434" s="1064">
        <v>-5.9</v>
      </c>
      <c r="AR434" s="1064"/>
      <c r="AS434" s="1064">
        <f t="shared" si="76"/>
        <v>31</v>
      </c>
      <c r="AT434" s="1064">
        <f>AS434*('Ввод исходных данных'!$D$83-AQ434)</f>
        <v>740.9</v>
      </c>
      <c r="AU434" s="1070">
        <v>4.9000000000000004</v>
      </c>
      <c r="AV434" s="1070"/>
      <c r="AW434" s="1070">
        <f t="shared" si="77"/>
        <v>26.5</v>
      </c>
      <c r="AX434" s="1070">
        <f>AW434*('Ввод исходных данных'!$D$83-AU434)</f>
        <v>347.15</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25">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7076</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74</v>
      </c>
      <c r="W435" s="1065">
        <v>1.2</v>
      </c>
      <c r="X435" s="1065"/>
      <c r="Y435" s="1065">
        <f t="shared" si="74"/>
        <v>31</v>
      </c>
      <c r="Z435" s="1065">
        <f>Y435*('Ввод исходных данных'!$D$83-W435)</f>
        <v>520.80000000000007</v>
      </c>
      <c r="AA435" s="1066">
        <v>-13.3</v>
      </c>
      <c r="AB435" s="1066"/>
      <c r="AC435" s="1066">
        <f t="shared" si="75"/>
        <v>30</v>
      </c>
      <c r="AD435" s="1066">
        <f>AC435*('Ввод исходных данных'!$D$83-AA435)</f>
        <v>939</v>
      </c>
      <c r="AE435" s="1067">
        <v>-24.7</v>
      </c>
      <c r="AF435" s="1067"/>
      <c r="AG435" s="1067">
        <v>31</v>
      </c>
      <c r="AH435" s="1067">
        <f>AG435*('Ввод исходных данных'!$D$83-AE435)</f>
        <v>1323.7</v>
      </c>
      <c r="AI435" s="1068">
        <v>-26.9</v>
      </c>
      <c r="AJ435" s="1068"/>
      <c r="AK435" s="1068">
        <v>31</v>
      </c>
      <c r="AL435" s="1068">
        <f>AK435*('Ввод исходных данных'!$D$83-AI435)</f>
        <v>1391.8999999999999</v>
      </c>
      <c r="AM435" s="1069">
        <v>-21.5</v>
      </c>
      <c r="AN435" s="1069"/>
      <c r="AO435" s="1069">
        <v>28</v>
      </c>
      <c r="AP435" s="1069">
        <f>AO435*('Ввод исходных данных'!$D$83-AM435)</f>
        <v>1106</v>
      </c>
      <c r="AQ435" s="1064">
        <v>-11</v>
      </c>
      <c r="AR435" s="1064"/>
      <c r="AS435" s="1064">
        <f t="shared" si="76"/>
        <v>31</v>
      </c>
      <c r="AT435" s="1064">
        <f>AS435*('Ввод исходных данных'!$D$83-AQ435)</f>
        <v>899</v>
      </c>
      <c r="AU435" s="1070">
        <v>0.4</v>
      </c>
      <c r="AV435" s="1070"/>
      <c r="AW435" s="1070">
        <f t="shared" si="77"/>
        <v>30</v>
      </c>
      <c r="AX435" s="1070">
        <f>AW435*('Ввод исходных данных'!$D$83-AU435)</f>
        <v>528</v>
      </c>
      <c r="AY435" s="1071">
        <v>8.3000000000000007</v>
      </c>
      <c r="AZ435" s="1071"/>
      <c r="BA435" s="1071">
        <f t="shared" si="78"/>
        <v>10</v>
      </c>
      <c r="BB435" s="1071">
        <f>BA435*('Ввод исходных данных'!$D$83-AY435)</f>
        <v>97</v>
      </c>
      <c r="BC435" s="1072">
        <v>15</v>
      </c>
      <c r="BD435" s="1072"/>
      <c r="BE435" s="1072">
        <f t="shared" si="70"/>
        <v>0</v>
      </c>
      <c r="BF435" s="1073">
        <f>BE435*('Ввод исходных данных'!$D$83-BC435)</f>
        <v>0</v>
      </c>
    </row>
    <row r="436" spans="2:58" ht="15.75" customHeight="1" x14ac:dyDescent="0.25">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6422.4000000000005</v>
      </c>
      <c r="J436" s="1059" t="str">
        <f t="shared" si="69"/>
        <v>6000-7000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29.700000000000003</v>
      </c>
      <c r="W436" s="1065">
        <v>3</v>
      </c>
      <c r="X436" s="1065"/>
      <c r="Y436" s="1065">
        <f t="shared" si="74"/>
        <v>31</v>
      </c>
      <c r="Z436" s="1065">
        <f>Y436*('Ввод исходных данных'!$D$83-W436)</f>
        <v>465</v>
      </c>
      <c r="AA436" s="1066">
        <v>-10.7</v>
      </c>
      <c r="AB436" s="1066"/>
      <c r="AC436" s="1066">
        <f t="shared" si="75"/>
        <v>30</v>
      </c>
      <c r="AD436" s="1066">
        <f>AC436*('Ввод исходных данных'!$D$83-AA436)</f>
        <v>861</v>
      </c>
      <c r="AE436" s="1067">
        <v>-22</v>
      </c>
      <c r="AF436" s="1067"/>
      <c r="AG436" s="1067">
        <v>31</v>
      </c>
      <c r="AH436" s="1067">
        <f>AG436*('Ввод исходных данных'!$D$83-AE436)</f>
        <v>1240</v>
      </c>
      <c r="AI436" s="1068">
        <v>-25.6</v>
      </c>
      <c r="AJ436" s="1068"/>
      <c r="AK436" s="1068">
        <v>31</v>
      </c>
      <c r="AL436" s="1068">
        <f>AK436*('Ввод исходных данных'!$D$83-AI436)</f>
        <v>1351.6000000000001</v>
      </c>
      <c r="AM436" s="1069">
        <v>-20.3</v>
      </c>
      <c r="AN436" s="1069"/>
      <c r="AO436" s="1069">
        <v>28</v>
      </c>
      <c r="AP436" s="1069">
        <f>AO436*('Ввод исходных данных'!$D$83-AM436)</f>
        <v>1072.3999999999999</v>
      </c>
      <c r="AQ436" s="1064">
        <v>-10.1</v>
      </c>
      <c r="AR436" s="1064"/>
      <c r="AS436" s="1064">
        <f t="shared" si="76"/>
        <v>31</v>
      </c>
      <c r="AT436" s="1064">
        <f>AS436*('Ввод исходных данных'!$D$83-AQ436)</f>
        <v>871.1</v>
      </c>
      <c r="AU436" s="1070">
        <v>1.3</v>
      </c>
      <c r="AV436" s="1070"/>
      <c r="AW436" s="1070">
        <f t="shared" si="77"/>
        <v>30</v>
      </c>
      <c r="AX436" s="1070">
        <f>AW436*('Ввод исходных данных'!$D$83-AU436)</f>
        <v>501</v>
      </c>
      <c r="AY436" s="1071">
        <v>8.6999999999999993</v>
      </c>
      <c r="AZ436" s="1071"/>
      <c r="BA436" s="1071">
        <f t="shared" si="78"/>
        <v>5.5</v>
      </c>
      <c r="BB436" s="1071">
        <f>BA436*('Ввод исходных данных'!$D$83-AY436)</f>
        <v>51.150000000000006</v>
      </c>
      <c r="BC436" s="1072">
        <v>15.6</v>
      </c>
      <c r="BD436" s="1072"/>
      <c r="BE436" s="1072">
        <f t="shared" si="70"/>
        <v>0</v>
      </c>
      <c r="BF436" s="1073">
        <f>BE436*('Ввод исходных данных'!$D$83-BC436)</f>
        <v>0</v>
      </c>
    </row>
    <row r="437" spans="2:58" ht="15.75" customHeight="1" x14ac:dyDescent="0.25">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6618.0999999999995</v>
      </c>
      <c r="J437" s="1059" t="str">
        <f t="shared" si="69"/>
        <v>6000-7000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50.150000000000006</v>
      </c>
      <c r="W437" s="1065">
        <v>2.6</v>
      </c>
      <c r="X437" s="1065"/>
      <c r="Y437" s="1065">
        <f t="shared" si="74"/>
        <v>31</v>
      </c>
      <c r="Z437" s="1065">
        <f>Y437*('Ввод исходных данных'!$D$83-W437)</f>
        <v>477.40000000000003</v>
      </c>
      <c r="AA437" s="1066">
        <v>-10.8</v>
      </c>
      <c r="AB437" s="1066"/>
      <c r="AC437" s="1066">
        <f t="shared" si="75"/>
        <v>30</v>
      </c>
      <c r="AD437" s="1066">
        <f>AC437*('Ввод исходных данных'!$D$83-AA437)</f>
        <v>864</v>
      </c>
      <c r="AE437" s="1067">
        <v>-21.8</v>
      </c>
      <c r="AF437" s="1067"/>
      <c r="AG437" s="1067">
        <v>31</v>
      </c>
      <c r="AH437" s="1067">
        <f>AG437*('Ввод исходных данных'!$D$83-AE437)</f>
        <v>1233.8</v>
      </c>
      <c r="AI437" s="1068">
        <v>-26.4</v>
      </c>
      <c r="AJ437" s="1068"/>
      <c r="AK437" s="1068">
        <v>31</v>
      </c>
      <c r="AL437" s="1068">
        <f>AK437*('Ввод исходных данных'!$D$83-AI437)</f>
        <v>1376.3999999999999</v>
      </c>
      <c r="AM437" s="1069">
        <v>-21.1</v>
      </c>
      <c r="AN437" s="1069"/>
      <c r="AO437" s="1069">
        <v>28</v>
      </c>
      <c r="AP437" s="1069">
        <f>AO437*('Ввод исходных данных'!$D$83-AM437)</f>
        <v>1094.8</v>
      </c>
      <c r="AQ437" s="1064">
        <v>-11</v>
      </c>
      <c r="AR437" s="1064"/>
      <c r="AS437" s="1064">
        <f t="shared" si="76"/>
        <v>31</v>
      </c>
      <c r="AT437" s="1064">
        <f>AS437*('Ввод исходных данных'!$D$83-AQ437)</f>
        <v>899</v>
      </c>
      <c r="AU437" s="1070">
        <v>0.3</v>
      </c>
      <c r="AV437" s="1070"/>
      <c r="AW437" s="1070">
        <f t="shared" si="77"/>
        <v>30</v>
      </c>
      <c r="AX437" s="1070">
        <f>AW437*('Ввод исходных данных'!$D$83-AU437)</f>
        <v>531</v>
      </c>
      <c r="AY437" s="1071">
        <v>8.1999999999999993</v>
      </c>
      <c r="AZ437" s="1071"/>
      <c r="BA437" s="1071">
        <f t="shared" si="78"/>
        <v>8.5</v>
      </c>
      <c r="BB437" s="1071">
        <f>BA437*('Ввод исходных данных'!$D$83-AY437)</f>
        <v>83.300000000000011</v>
      </c>
      <c r="BC437" s="1072">
        <v>15.1</v>
      </c>
      <c r="BD437" s="1072"/>
      <c r="BE437" s="1072">
        <f t="shared" si="70"/>
        <v>0</v>
      </c>
      <c r="BF437" s="1073">
        <f>BE437*('Ввод исходных данных'!$D$83-BC437)</f>
        <v>0</v>
      </c>
    </row>
    <row r="438" spans="2:58" ht="15.75" customHeight="1" x14ac:dyDescent="0.25">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6884.5</v>
      </c>
      <c r="J438" s="1059" t="str">
        <f t="shared" si="69"/>
        <v>6000-7000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125.39999999999999</v>
      </c>
      <c r="W438" s="1065">
        <v>1.9</v>
      </c>
      <c r="X438" s="1065"/>
      <c r="Y438" s="1065">
        <f t="shared" si="74"/>
        <v>31</v>
      </c>
      <c r="Z438" s="1065">
        <f>Y438*('Ввод исходных данных'!$D$83-W438)</f>
        <v>499.1</v>
      </c>
      <c r="AA438" s="1066">
        <v>-10.3</v>
      </c>
      <c r="AB438" s="1066"/>
      <c r="AC438" s="1066">
        <f t="shared" si="75"/>
        <v>30</v>
      </c>
      <c r="AD438" s="1066">
        <f>AC438*('Ввод исходных данных'!$D$83-AA438)</f>
        <v>849</v>
      </c>
      <c r="AE438" s="1067">
        <v>-19.8</v>
      </c>
      <c r="AF438" s="1067"/>
      <c r="AG438" s="1067">
        <v>31</v>
      </c>
      <c r="AH438" s="1067">
        <f>AG438*('Ввод исходных данных'!$D$83-AE438)</f>
        <v>1171.8</v>
      </c>
      <c r="AI438" s="1068">
        <v>-22.4</v>
      </c>
      <c r="AJ438" s="1068"/>
      <c r="AK438" s="1068">
        <v>31</v>
      </c>
      <c r="AL438" s="1068">
        <f>AK438*('Ввод исходных данных'!$D$83-AI438)</f>
        <v>1252.3999999999999</v>
      </c>
      <c r="AM438" s="1069">
        <v>-19.3</v>
      </c>
      <c r="AN438" s="1069"/>
      <c r="AO438" s="1069">
        <v>28</v>
      </c>
      <c r="AP438" s="1069">
        <f>AO438*('Ввод исходных данных'!$D$83-AM438)</f>
        <v>1044.3999999999999</v>
      </c>
      <c r="AQ438" s="1064">
        <v>-11.7</v>
      </c>
      <c r="AR438" s="1064"/>
      <c r="AS438" s="1064">
        <f t="shared" si="76"/>
        <v>31</v>
      </c>
      <c r="AT438" s="1064">
        <f>AS438*('Ввод исходных данных'!$D$83-AQ438)</f>
        <v>920.69999999999993</v>
      </c>
      <c r="AU438" s="1070">
        <v>-2.2000000000000002</v>
      </c>
      <c r="AV438" s="1070"/>
      <c r="AW438" s="1070">
        <f t="shared" si="77"/>
        <v>30</v>
      </c>
      <c r="AX438" s="1070">
        <f>AW438*('Ввод исходных данных'!$D$83-AU438)</f>
        <v>606</v>
      </c>
      <c r="AY438" s="1071">
        <v>4.9000000000000004</v>
      </c>
      <c r="AZ438" s="1071"/>
      <c r="BA438" s="1071">
        <f t="shared" si="78"/>
        <v>16.5</v>
      </c>
      <c r="BB438" s="1071">
        <f>BA438*('Ввод исходных данных'!$D$83-AY438)</f>
        <v>216.15</v>
      </c>
      <c r="BC438" s="1072">
        <v>12.9</v>
      </c>
      <c r="BD438" s="1072"/>
      <c r="BE438" s="1072">
        <f t="shared" si="70"/>
        <v>0</v>
      </c>
      <c r="BF438" s="1073">
        <f>BE438*('Ввод исходных данных'!$D$83-BC438)</f>
        <v>0</v>
      </c>
    </row>
    <row r="439" spans="2:58" ht="15.75" customHeight="1" x14ac:dyDescent="0.25">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7562.4000000000005</v>
      </c>
      <c r="J439" s="1059" t="str">
        <f t="shared" si="69"/>
        <v>7000-8000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2.3499999999999996</v>
      </c>
      <c r="S439" s="1064">
        <v>8.5</v>
      </c>
      <c r="T439" s="1064"/>
      <c r="U439" s="1064">
        <f t="shared" si="73"/>
        <v>30</v>
      </c>
      <c r="V439" s="1064">
        <f>U439*('Ввод исходных данных'!$D$83-S439)</f>
        <v>285</v>
      </c>
      <c r="W439" s="1065">
        <v>-1.8</v>
      </c>
      <c r="X439" s="1065"/>
      <c r="Y439" s="1065">
        <f t="shared" si="74"/>
        <v>31</v>
      </c>
      <c r="Z439" s="1065">
        <f>Y439*('Ввод исходных данных'!$D$83-W439)</f>
        <v>613.80000000000007</v>
      </c>
      <c r="AA439" s="1066">
        <v>-13.9</v>
      </c>
      <c r="AB439" s="1066"/>
      <c r="AC439" s="1066">
        <f t="shared" si="75"/>
        <v>30</v>
      </c>
      <c r="AD439" s="1066">
        <f>AC439*('Ввод исходных данных'!$D$83-AA439)</f>
        <v>957</v>
      </c>
      <c r="AE439" s="1067">
        <v>-19.7</v>
      </c>
      <c r="AF439" s="1067"/>
      <c r="AG439" s="1067">
        <v>31</v>
      </c>
      <c r="AH439" s="1067">
        <f>AG439*('Ввод исходных данных'!$D$83-AE439)</f>
        <v>1168.7</v>
      </c>
      <c r="AI439" s="1068">
        <v>-21.1</v>
      </c>
      <c r="AJ439" s="1068"/>
      <c r="AK439" s="1068">
        <v>31</v>
      </c>
      <c r="AL439" s="1068">
        <f>AK439*('Ввод исходных данных'!$D$83-AI439)</f>
        <v>1212.1000000000001</v>
      </c>
      <c r="AM439" s="1069">
        <v>-18.8</v>
      </c>
      <c r="AN439" s="1069"/>
      <c r="AO439" s="1069">
        <v>28</v>
      </c>
      <c r="AP439" s="1069">
        <f>AO439*('Ввод исходных данных'!$D$83-AM439)</f>
        <v>1030.3999999999999</v>
      </c>
      <c r="AQ439" s="1064">
        <v>-12.9</v>
      </c>
      <c r="AR439" s="1064"/>
      <c r="AS439" s="1064">
        <f t="shared" si="76"/>
        <v>31</v>
      </c>
      <c r="AT439" s="1064">
        <f>AS439*('Ввод исходных данных'!$D$83-AQ439)</f>
        <v>957.9</v>
      </c>
      <c r="AU439" s="1070">
        <v>-4.5</v>
      </c>
      <c r="AV439" s="1070"/>
      <c r="AW439" s="1070">
        <f t="shared" si="77"/>
        <v>30</v>
      </c>
      <c r="AX439" s="1070">
        <f>AW439*('Ввод исходных данных'!$D$83-AU439)</f>
        <v>675</v>
      </c>
      <c r="AY439" s="1071">
        <v>1.8</v>
      </c>
      <c r="AZ439" s="1071"/>
      <c r="BA439" s="1071">
        <f t="shared" si="78"/>
        <v>31</v>
      </c>
      <c r="BB439" s="1071">
        <f>BA439*('Ввод исходных данных'!$D$83-AY439)</f>
        <v>502.2</v>
      </c>
      <c r="BC439" s="1072">
        <v>7.5</v>
      </c>
      <c r="BD439" s="1072"/>
      <c r="BE439" s="1072">
        <f t="shared" si="70"/>
        <v>0.5</v>
      </c>
      <c r="BF439" s="1073">
        <f>BE439*('Ввод исходных данных'!$D$83-BC439)</f>
        <v>5.25</v>
      </c>
    </row>
    <row r="440" spans="2:58" ht="15.75" customHeight="1" x14ac:dyDescent="0.25">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6364.5999999999995</v>
      </c>
      <c r="J440" s="1059" t="str">
        <f t="shared" si="69"/>
        <v>6000-7000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168.29999999999998</v>
      </c>
      <c r="W440" s="1065">
        <v>3.2</v>
      </c>
      <c r="X440" s="1065"/>
      <c r="Y440" s="1065">
        <f t="shared" si="74"/>
        <v>31</v>
      </c>
      <c r="Z440" s="1065">
        <f>Y440*('Ввод исходных данных'!$D$83-W440)</f>
        <v>458.8</v>
      </c>
      <c r="AA440" s="1066">
        <v>-7.5</v>
      </c>
      <c r="AB440" s="1066"/>
      <c r="AC440" s="1066">
        <f t="shared" si="75"/>
        <v>30</v>
      </c>
      <c r="AD440" s="1066">
        <f>AC440*('Ввод исходных данных'!$D$83-AA440)</f>
        <v>765</v>
      </c>
      <c r="AE440" s="1067">
        <v>-14.9</v>
      </c>
      <c r="AF440" s="1067"/>
      <c r="AG440" s="1067">
        <v>31</v>
      </c>
      <c r="AH440" s="1067">
        <f>AG440*('Ввод исходных данных'!$D$83-AE440)</f>
        <v>1019.9</v>
      </c>
      <c r="AI440" s="1068">
        <v>-18.2</v>
      </c>
      <c r="AJ440" s="1068"/>
      <c r="AK440" s="1068">
        <v>31</v>
      </c>
      <c r="AL440" s="1068">
        <f>AK440*('Ввод исходных данных'!$D$83-AI440)</f>
        <v>1122.2</v>
      </c>
      <c r="AM440" s="1069">
        <v>-15.3</v>
      </c>
      <c r="AN440" s="1069"/>
      <c r="AO440" s="1069">
        <v>28</v>
      </c>
      <c r="AP440" s="1069">
        <f>AO440*('Ввод исходных данных'!$D$83-AM440)</f>
        <v>932.39999999999986</v>
      </c>
      <c r="AQ440" s="1064">
        <v>-9.3000000000000007</v>
      </c>
      <c r="AR440" s="1064"/>
      <c r="AS440" s="1064">
        <f t="shared" si="76"/>
        <v>31</v>
      </c>
      <c r="AT440" s="1064">
        <f>AS440*('Ввод исходных данных'!$D$83-AQ440)</f>
        <v>846.30000000000007</v>
      </c>
      <c r="AU440" s="1070">
        <v>-1.2</v>
      </c>
      <c r="AV440" s="1070"/>
      <c r="AW440" s="1070">
        <f t="shared" si="77"/>
        <v>30</v>
      </c>
      <c r="AX440" s="1070">
        <f>AW440*('Ввод исходных данных'!$D$83-AU440)</f>
        <v>576</v>
      </c>
      <c r="AY440" s="1071">
        <v>2.9</v>
      </c>
      <c r="AZ440" s="1071"/>
      <c r="BA440" s="1071">
        <f t="shared" si="78"/>
        <v>25.5</v>
      </c>
      <c r="BB440" s="1071">
        <f>BA440*('Ввод исходных данных'!$D$83-AY440)</f>
        <v>385.05</v>
      </c>
      <c r="BC440" s="1072">
        <v>7.5</v>
      </c>
      <c r="BD440" s="1072"/>
      <c r="BE440" s="1072">
        <f t="shared" si="70"/>
        <v>0</v>
      </c>
      <c r="BF440" s="1073">
        <f>BE440*('Ввод исходных данных'!$D$83-BC440)</f>
        <v>0</v>
      </c>
    </row>
    <row r="441" spans="2:58" ht="15.75" customHeight="1" x14ac:dyDescent="0.25">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5616</v>
      </c>
      <c r="J441" s="1059" t="str">
        <f t="shared" si="69"/>
        <v>5000-6000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57.199999999999989</v>
      </c>
      <c r="W441" s="1065">
        <v>5.5</v>
      </c>
      <c r="X441" s="1065"/>
      <c r="Y441" s="1065">
        <f t="shared" si="74"/>
        <v>31</v>
      </c>
      <c r="Z441" s="1065">
        <f>Y441*('Ввод исходных данных'!$D$83-W441)</f>
        <v>387.5</v>
      </c>
      <c r="AA441" s="1066">
        <v>-4.5999999999999996</v>
      </c>
      <c r="AB441" s="1066"/>
      <c r="AC441" s="1066">
        <f t="shared" si="75"/>
        <v>30</v>
      </c>
      <c r="AD441" s="1066">
        <f>AC441*('Ввод исходных данных'!$D$83-AA441)</f>
        <v>678</v>
      </c>
      <c r="AE441" s="1067">
        <v>-12.9</v>
      </c>
      <c r="AF441" s="1067"/>
      <c r="AG441" s="1067">
        <v>31</v>
      </c>
      <c r="AH441" s="1067">
        <f>AG441*('Ввод исходных данных'!$D$83-AE441)</f>
        <v>957.9</v>
      </c>
      <c r="AI441" s="1068">
        <v>-15.9</v>
      </c>
      <c r="AJ441" s="1068"/>
      <c r="AK441" s="1068">
        <v>31</v>
      </c>
      <c r="AL441" s="1068">
        <f>AK441*('Ввод исходных данных'!$D$83-AI441)</f>
        <v>1050.8999999999999</v>
      </c>
      <c r="AM441" s="1069">
        <v>-13.8</v>
      </c>
      <c r="AN441" s="1069"/>
      <c r="AO441" s="1069">
        <v>28</v>
      </c>
      <c r="AP441" s="1069">
        <f>AO441*('Ввод исходных данных'!$D$83-AM441)</f>
        <v>890.4</v>
      </c>
      <c r="AQ441" s="1064">
        <v>-6.8</v>
      </c>
      <c r="AR441" s="1064"/>
      <c r="AS441" s="1064">
        <f t="shared" si="76"/>
        <v>31</v>
      </c>
      <c r="AT441" s="1064">
        <f>AS441*('Ввод исходных данных'!$D$83-AQ441)</f>
        <v>768.80000000000007</v>
      </c>
      <c r="AU441" s="1070">
        <v>0.9</v>
      </c>
      <c r="AV441" s="1070"/>
      <c r="AW441" s="1070">
        <f t="shared" si="77"/>
        <v>30</v>
      </c>
      <c r="AX441" s="1070">
        <f>AW441*('Ввод исходных данных'!$D$83-AU441)</f>
        <v>513</v>
      </c>
      <c r="AY441" s="1071">
        <v>6.1</v>
      </c>
      <c r="AZ441" s="1071"/>
      <c r="BA441" s="1071">
        <f t="shared" si="78"/>
        <v>11</v>
      </c>
      <c r="BB441" s="1071">
        <f>BA441*('Ввод исходных данных'!$D$83-AY441)</f>
        <v>130.9</v>
      </c>
      <c r="BC441" s="1072">
        <v>10.8</v>
      </c>
      <c r="BD441" s="1072"/>
      <c r="BE441" s="1072">
        <f t="shared" si="70"/>
        <v>0</v>
      </c>
      <c r="BF441" s="1073">
        <f>BE441*('Ввод исходных данных'!$D$83-BC441)</f>
        <v>0</v>
      </c>
    </row>
    <row r="442" spans="2:58" ht="15.75" customHeight="1" x14ac:dyDescent="0.25">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8567.4000000000015</v>
      </c>
      <c r="J442" s="1059" t="str">
        <f t="shared" si="69"/>
        <v>8000-9000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302.5</v>
      </c>
      <c r="W442" s="1065">
        <v>-4.7</v>
      </c>
      <c r="X442" s="1065"/>
      <c r="Y442" s="1065">
        <f t="shared" si="74"/>
        <v>31</v>
      </c>
      <c r="Z442" s="1065">
        <f>Y442*('Ввод исходных данных'!$D$83-W442)</f>
        <v>703.69999999999993</v>
      </c>
      <c r="AA442" s="1066">
        <v>-19.899999999999999</v>
      </c>
      <c r="AB442" s="1066"/>
      <c r="AC442" s="1066">
        <f t="shared" si="75"/>
        <v>30</v>
      </c>
      <c r="AD442" s="1066">
        <f>AC442*('Ввод исходных данных'!$D$83-AA442)</f>
        <v>1137</v>
      </c>
      <c r="AE442" s="1067">
        <v>-30</v>
      </c>
      <c r="AF442" s="1067"/>
      <c r="AG442" s="1067">
        <v>31</v>
      </c>
      <c r="AH442" s="1067">
        <f>AG442*('Ввод исходных данных'!$D$83-AE442)</f>
        <v>1488</v>
      </c>
      <c r="AI442" s="1068">
        <v>-31.1</v>
      </c>
      <c r="AJ442" s="1068"/>
      <c r="AK442" s="1068">
        <v>31</v>
      </c>
      <c r="AL442" s="1068">
        <f>AK442*('Ввод исходных данных'!$D$83-AI442)</f>
        <v>1522.1000000000001</v>
      </c>
      <c r="AM442" s="1069">
        <v>-25.8</v>
      </c>
      <c r="AN442" s="1069"/>
      <c r="AO442" s="1069">
        <v>28</v>
      </c>
      <c r="AP442" s="1069">
        <f>AO442*('Ввод исходных данных'!$D$83-AM442)</f>
        <v>1226.3999999999999</v>
      </c>
      <c r="AQ442" s="1064">
        <v>-15.8</v>
      </c>
      <c r="AR442" s="1064"/>
      <c r="AS442" s="1064">
        <f t="shared" si="76"/>
        <v>31</v>
      </c>
      <c r="AT442" s="1064">
        <f>AS442*('Ввод исходных данных'!$D$83-AQ442)</f>
        <v>1047.8</v>
      </c>
      <c r="AU442" s="1070">
        <v>-3.9</v>
      </c>
      <c r="AV442" s="1070"/>
      <c r="AW442" s="1070">
        <f t="shared" si="77"/>
        <v>30</v>
      </c>
      <c r="AX442" s="1070">
        <f>AW442*('Ввод исходных данных'!$D$83-AU442)</f>
        <v>657</v>
      </c>
      <c r="AY442" s="1071">
        <v>5.2</v>
      </c>
      <c r="AZ442" s="1071"/>
      <c r="BA442" s="1071">
        <f t="shared" si="78"/>
        <v>25</v>
      </c>
      <c r="BB442" s="1071">
        <f>BA442*('Ввод исходных данных'!$D$83-AY442)</f>
        <v>320</v>
      </c>
      <c r="BC442" s="1072">
        <v>12.2</v>
      </c>
      <c r="BD442" s="1072"/>
      <c r="BE442" s="1072">
        <f t="shared" si="70"/>
        <v>0</v>
      </c>
      <c r="BF442" s="1073">
        <f>BE442*('Ввод исходных данных'!$D$83-BC442)</f>
        <v>0</v>
      </c>
    </row>
    <row r="443" spans="2:58" ht="15.75" customHeight="1" x14ac:dyDescent="0.25">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7449.4000000000005</v>
      </c>
      <c r="J443" s="1059" t="str">
        <f t="shared" si="69"/>
        <v>7000-8000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110.5</v>
      </c>
      <c r="W443" s="1065">
        <v>-0.8</v>
      </c>
      <c r="X443" s="1065"/>
      <c r="Y443" s="1065">
        <f t="shared" si="74"/>
        <v>31</v>
      </c>
      <c r="Z443" s="1065">
        <f>Y443*('Ввод исходных данных'!$D$83-W443)</f>
        <v>582.80000000000007</v>
      </c>
      <c r="AA443" s="1066">
        <v>-16.600000000000001</v>
      </c>
      <c r="AB443" s="1066"/>
      <c r="AC443" s="1066">
        <f t="shared" si="75"/>
        <v>30</v>
      </c>
      <c r="AD443" s="1066">
        <f>AC443*('Ввод исходных данных'!$D$83-AA443)</f>
        <v>1038</v>
      </c>
      <c r="AE443" s="1067">
        <v>-28.6</v>
      </c>
      <c r="AF443" s="1067"/>
      <c r="AG443" s="1067">
        <v>31</v>
      </c>
      <c r="AH443" s="1067">
        <f>AG443*('Ввод исходных данных'!$D$83-AE443)</f>
        <v>1444.6000000000001</v>
      </c>
      <c r="AI443" s="1068">
        <v>-31.1</v>
      </c>
      <c r="AJ443" s="1068"/>
      <c r="AK443" s="1068">
        <v>31</v>
      </c>
      <c r="AL443" s="1068">
        <f>AK443*('Ввод исходных данных'!$D$83-AI443)</f>
        <v>1522.1000000000001</v>
      </c>
      <c r="AM443" s="1069">
        <v>-23</v>
      </c>
      <c r="AN443" s="1069"/>
      <c r="AO443" s="1069">
        <v>28</v>
      </c>
      <c r="AP443" s="1069">
        <f>AO443*('Ввод исходных данных'!$D$83-AM443)</f>
        <v>1148</v>
      </c>
      <c r="AQ443" s="1064">
        <v>-12.1</v>
      </c>
      <c r="AR443" s="1064"/>
      <c r="AS443" s="1064">
        <f t="shared" si="76"/>
        <v>31</v>
      </c>
      <c r="AT443" s="1064">
        <f>AS443*('Ввод исходных данных'!$D$83-AQ443)</f>
        <v>933.1</v>
      </c>
      <c r="AU443" s="1070">
        <v>0.2</v>
      </c>
      <c r="AV443" s="1070"/>
      <c r="AW443" s="1070">
        <f t="shared" si="77"/>
        <v>30</v>
      </c>
      <c r="AX443" s="1070">
        <f>AW443*('Ввод исходных данных'!$D$83-AU443)</f>
        <v>534</v>
      </c>
      <c r="AY443" s="1071">
        <v>8.1</v>
      </c>
      <c r="AZ443" s="1071"/>
      <c r="BA443" s="1071">
        <f t="shared" si="78"/>
        <v>13</v>
      </c>
      <c r="BB443" s="1071">
        <f>BA443*('Ввод исходных данных'!$D$83-AY443)</f>
        <v>128.70000000000002</v>
      </c>
      <c r="BC443" s="1072">
        <v>14.8</v>
      </c>
      <c r="BD443" s="1072"/>
      <c r="BE443" s="1072">
        <f t="shared" si="70"/>
        <v>0</v>
      </c>
      <c r="BF443" s="1073">
        <f>BE443*('Ввод исходных данных'!$D$83-BC443)</f>
        <v>0</v>
      </c>
    </row>
    <row r="444" spans="2:58" ht="15.75" customHeight="1" x14ac:dyDescent="0.25">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6010.9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27.5</v>
      </c>
      <c r="W444" s="1065">
        <v>3.9</v>
      </c>
      <c r="X444" s="1065"/>
      <c r="Y444" s="1065">
        <f t="shared" si="74"/>
        <v>31</v>
      </c>
      <c r="Z444" s="1065">
        <f>Y444*('Ввод исходных данных'!$D$83-W444)</f>
        <v>437.09999999999997</v>
      </c>
      <c r="AA444" s="1066">
        <v>-8.6999999999999993</v>
      </c>
      <c r="AB444" s="1066"/>
      <c r="AC444" s="1066">
        <f t="shared" si="75"/>
        <v>30</v>
      </c>
      <c r="AD444" s="1066">
        <f>AC444*('Ввод исходных данных'!$D$83-AA444)</f>
        <v>801</v>
      </c>
      <c r="AE444" s="1067">
        <v>-19.2</v>
      </c>
      <c r="AF444" s="1067"/>
      <c r="AG444" s="1067">
        <v>31</v>
      </c>
      <c r="AH444" s="1067">
        <f>AG444*('Ввод исходных данных'!$D$83-AE444)</f>
        <v>1153.2</v>
      </c>
      <c r="AI444" s="1068">
        <v>-23.3</v>
      </c>
      <c r="AJ444" s="1068"/>
      <c r="AK444" s="1068">
        <v>31</v>
      </c>
      <c r="AL444" s="1068">
        <f>AK444*('Ввод исходных данных'!$D$83-AI444)</f>
        <v>1280.3</v>
      </c>
      <c r="AM444" s="1069">
        <v>-18.2</v>
      </c>
      <c r="AN444" s="1069"/>
      <c r="AO444" s="1069">
        <v>28</v>
      </c>
      <c r="AP444" s="1069">
        <f>AO444*('Ввод исходных данных'!$D$83-AM444)</f>
        <v>1013.6000000000001</v>
      </c>
      <c r="AQ444" s="1064">
        <v>-9.4</v>
      </c>
      <c r="AR444" s="1064"/>
      <c r="AS444" s="1064">
        <f t="shared" si="76"/>
        <v>31</v>
      </c>
      <c r="AT444" s="1064">
        <f>AS444*('Ввод исходных данных'!$D$83-AQ444)</f>
        <v>849.4</v>
      </c>
      <c r="AU444" s="1070">
        <v>2.1</v>
      </c>
      <c r="AV444" s="1070"/>
      <c r="AW444" s="1070">
        <f t="shared" si="77"/>
        <v>30</v>
      </c>
      <c r="AX444" s="1070">
        <f>AW444*('Ввод исходных данных'!$D$83-AU444)</f>
        <v>477</v>
      </c>
      <c r="AY444" s="1071">
        <v>6.9</v>
      </c>
      <c r="AZ444" s="1071"/>
      <c r="BA444" s="1071">
        <f t="shared" si="78"/>
        <v>2.5</v>
      </c>
      <c r="BB444" s="1071">
        <f>BA444*('Ввод исходных данных'!$D$83-AY444)</f>
        <v>27.75</v>
      </c>
      <c r="BC444" s="1072">
        <v>14.5</v>
      </c>
      <c r="BD444" s="1072"/>
      <c r="BE444" s="1072">
        <f t="shared" si="70"/>
        <v>0</v>
      </c>
      <c r="BF444" s="1073">
        <f>BE444*('Ввод исходных данных'!$D$83-BC444)</f>
        <v>0</v>
      </c>
    </row>
    <row r="445" spans="2:58" ht="15.75" customHeight="1" x14ac:dyDescent="0.25">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5610</v>
      </c>
      <c r="J445" s="1059" t="str">
        <f t="shared" si="69"/>
        <v>5000-6000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347.15</v>
      </c>
      <c r="AA445" s="1066">
        <v>-7.3</v>
      </c>
      <c r="AB445" s="1066"/>
      <c r="AC445" s="1066">
        <f t="shared" si="75"/>
        <v>30</v>
      </c>
      <c r="AD445" s="1066">
        <f>AC445*('Ввод исходных данных'!$D$83-AA445)</f>
        <v>759</v>
      </c>
      <c r="AE445" s="1067">
        <v>-17.7</v>
      </c>
      <c r="AF445" s="1067"/>
      <c r="AG445" s="1067">
        <v>31</v>
      </c>
      <c r="AH445" s="1067">
        <f>AG445*('Ввод исходных данных'!$D$83-AE445)</f>
        <v>1106.7</v>
      </c>
      <c r="AI445" s="1068">
        <v>-20.2</v>
      </c>
      <c r="AJ445" s="1068"/>
      <c r="AK445" s="1068">
        <v>31</v>
      </c>
      <c r="AL445" s="1068">
        <f>AK445*('Ввод исходных данных'!$D$83-AI445)</f>
        <v>1184.2</v>
      </c>
      <c r="AM445" s="1069">
        <v>-16.100000000000001</v>
      </c>
      <c r="AN445" s="1069"/>
      <c r="AO445" s="1069">
        <v>28</v>
      </c>
      <c r="AP445" s="1069">
        <f>AO445*('Ввод исходных данных'!$D$83-AM445)</f>
        <v>954.80000000000007</v>
      </c>
      <c r="AQ445" s="1064">
        <v>-6.8</v>
      </c>
      <c r="AR445" s="1064"/>
      <c r="AS445" s="1064">
        <f t="shared" si="76"/>
        <v>31</v>
      </c>
      <c r="AT445" s="1064">
        <f>AS445*('Ввод исходных данных'!$D$83-AQ445)</f>
        <v>768.80000000000007</v>
      </c>
      <c r="AU445" s="1070">
        <v>4.5</v>
      </c>
      <c r="AV445" s="1070"/>
      <c r="AW445" s="1070">
        <f t="shared" si="77"/>
        <v>26.5</v>
      </c>
      <c r="AX445" s="1070">
        <f>AW445*('Ввод исходных данных'!$D$83-AU445)</f>
        <v>357.75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25">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7343.2</v>
      </c>
      <c r="J446" s="1059" t="str">
        <f t="shared" si="69"/>
        <v>7000-8000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2.25</v>
      </c>
      <c r="S446" s="1064">
        <v>10</v>
      </c>
      <c r="T446" s="1064"/>
      <c r="U446" s="1064">
        <f t="shared" si="73"/>
        <v>30</v>
      </c>
      <c r="V446" s="1064">
        <f>U446*('Ввод исходных данных'!$D$83-S446)</f>
        <v>240</v>
      </c>
      <c r="W446" s="1065">
        <v>0.7</v>
      </c>
      <c r="X446" s="1065"/>
      <c r="Y446" s="1065">
        <f t="shared" si="74"/>
        <v>31</v>
      </c>
      <c r="Z446" s="1065">
        <f>Y446*('Ввод исходных данных'!$D$83-W446)</f>
        <v>536.30000000000007</v>
      </c>
      <c r="AA446" s="1066">
        <v>-12.9</v>
      </c>
      <c r="AB446" s="1066"/>
      <c r="AC446" s="1066">
        <f t="shared" si="75"/>
        <v>30</v>
      </c>
      <c r="AD446" s="1066">
        <f>AC446*('Ввод исходных данных'!$D$83-AA446)</f>
        <v>927</v>
      </c>
      <c r="AE446" s="1067">
        <v>-21.3</v>
      </c>
      <c r="AF446" s="1067"/>
      <c r="AG446" s="1067">
        <v>31</v>
      </c>
      <c r="AH446" s="1067">
        <f>AG446*('Ввод исходных данных'!$D$83-AE446)</f>
        <v>1218.3</v>
      </c>
      <c r="AI446" s="1068">
        <v>-23.7</v>
      </c>
      <c r="AJ446" s="1068"/>
      <c r="AK446" s="1068">
        <v>31</v>
      </c>
      <c r="AL446" s="1068">
        <f>AK446*('Ввод исходных данных'!$D$83-AI446)</f>
        <v>1292.7</v>
      </c>
      <c r="AM446" s="1069">
        <v>-18.899999999999999</v>
      </c>
      <c r="AN446" s="1069"/>
      <c r="AO446" s="1069">
        <v>28</v>
      </c>
      <c r="AP446" s="1069">
        <f>AO446*('Ввод исходных данных'!$D$83-AM446)</f>
        <v>1033.2</v>
      </c>
      <c r="AQ446" s="1064">
        <v>-11.6</v>
      </c>
      <c r="AR446" s="1064"/>
      <c r="AS446" s="1064">
        <f t="shared" si="76"/>
        <v>31</v>
      </c>
      <c r="AT446" s="1064">
        <f>AS446*('Ввод исходных данных'!$D$83-AQ446)</f>
        <v>917.6</v>
      </c>
      <c r="AU446" s="1070">
        <v>-2.7</v>
      </c>
      <c r="AV446" s="1070"/>
      <c r="AW446" s="1070">
        <f t="shared" si="77"/>
        <v>30</v>
      </c>
      <c r="AX446" s="1070">
        <f>AW446*('Ввод исходных данных'!$D$83-AU446)</f>
        <v>621</v>
      </c>
      <c r="AY446" s="1071">
        <v>1.9</v>
      </c>
      <c r="AZ446" s="1071"/>
      <c r="BA446" s="1071">
        <f t="shared" si="78"/>
        <v>31</v>
      </c>
      <c r="BB446" s="1071">
        <f>BA446*('Ввод исходных данных'!$D$83-AY446)</f>
        <v>499.1</v>
      </c>
      <c r="BC446" s="1072">
        <v>6.6</v>
      </c>
      <c r="BD446" s="1072"/>
      <c r="BE446" s="1072">
        <f t="shared" si="70"/>
        <v>0.5</v>
      </c>
      <c r="BF446" s="1073">
        <f>BE446*('Ввод исходных данных'!$D$83-BC446)</f>
        <v>5.7</v>
      </c>
    </row>
    <row r="447" spans="2:58" ht="15.75" customHeight="1" x14ac:dyDescent="0.25">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7221.7</v>
      </c>
      <c r="J447" s="1059" t="str">
        <f t="shared" si="69"/>
        <v>7000-8000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18.799999999999997</v>
      </c>
      <c r="S447" s="1064">
        <v>8.9</v>
      </c>
      <c r="T447" s="1064"/>
      <c r="U447" s="1064">
        <f t="shared" si="73"/>
        <v>30</v>
      </c>
      <c r="V447" s="1064">
        <f>U447*('Ввод исходных данных'!$D$83-S447)</f>
        <v>273</v>
      </c>
      <c r="W447" s="1065">
        <v>-0.5</v>
      </c>
      <c r="X447" s="1065"/>
      <c r="Y447" s="1065">
        <f t="shared" si="74"/>
        <v>31</v>
      </c>
      <c r="Z447" s="1065">
        <f>Y447*('Ввод исходных данных'!$D$83-W447)</f>
        <v>573.5</v>
      </c>
      <c r="AA447" s="1066">
        <v>-11.4</v>
      </c>
      <c r="AB447" s="1066"/>
      <c r="AC447" s="1066">
        <f t="shared" si="75"/>
        <v>30</v>
      </c>
      <c r="AD447" s="1066">
        <f>AC447*('Ввод исходных данных'!$D$83-AA447)</f>
        <v>882</v>
      </c>
      <c r="AE447" s="1067">
        <v>-17.5</v>
      </c>
      <c r="AF447" s="1067"/>
      <c r="AG447" s="1067">
        <v>31</v>
      </c>
      <c r="AH447" s="1067">
        <f>AG447*('Ввод исходных данных'!$D$83-AE447)</f>
        <v>1100.5</v>
      </c>
      <c r="AI447" s="1068">
        <v>-20.2</v>
      </c>
      <c r="AJ447" s="1068"/>
      <c r="AK447" s="1068">
        <v>31</v>
      </c>
      <c r="AL447" s="1068">
        <f>AK447*('Ввод исходных данных'!$D$83-AI447)</f>
        <v>1184.2</v>
      </c>
      <c r="AM447" s="1069">
        <v>-17.3</v>
      </c>
      <c r="AN447" s="1069"/>
      <c r="AO447" s="1069">
        <v>28</v>
      </c>
      <c r="AP447" s="1069">
        <f>AO447*('Ввод исходных данных'!$D$83-AM447)</f>
        <v>988.39999999999986</v>
      </c>
      <c r="AQ447" s="1064">
        <v>-11.3</v>
      </c>
      <c r="AR447" s="1064"/>
      <c r="AS447" s="1064">
        <f t="shared" si="76"/>
        <v>31</v>
      </c>
      <c r="AT447" s="1064">
        <f>AS447*('Ввод исходных данных'!$D$83-AQ447)</f>
        <v>908.30000000000007</v>
      </c>
      <c r="AU447" s="1070">
        <v>-4</v>
      </c>
      <c r="AV447" s="1070"/>
      <c r="AW447" s="1070">
        <f t="shared" si="77"/>
        <v>30</v>
      </c>
      <c r="AX447" s="1070">
        <f>AW447*('Ввод исходных данных'!$D$83-AU447)</f>
        <v>660</v>
      </c>
      <c r="AY447" s="1071">
        <v>1.4</v>
      </c>
      <c r="AZ447" s="1071"/>
      <c r="BA447" s="1071">
        <f t="shared" si="78"/>
        <v>31</v>
      </c>
      <c r="BB447" s="1071">
        <f>BA447*('Ввод исходных данных'!$D$83-AY447)</f>
        <v>514.6</v>
      </c>
      <c r="BC447" s="1072">
        <v>6.1</v>
      </c>
      <c r="BD447" s="1072"/>
      <c r="BE447" s="1072">
        <f t="shared" si="70"/>
        <v>4</v>
      </c>
      <c r="BF447" s="1073">
        <f>BE447*('Ввод исходных данных'!$D$83-BC447)</f>
        <v>47.6</v>
      </c>
    </row>
    <row r="448" spans="2:58" ht="15.75" customHeight="1" x14ac:dyDescent="0.25">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7421.4</v>
      </c>
      <c r="J448" s="1059" t="str">
        <f t="shared" si="69"/>
        <v>7000-8000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313.2</v>
      </c>
      <c r="W448" s="1065">
        <v>-2.2999999999999998</v>
      </c>
      <c r="X448" s="1065"/>
      <c r="Y448" s="1065">
        <f t="shared" si="74"/>
        <v>31</v>
      </c>
      <c r="Z448" s="1065">
        <f>Y448*('Ввод исходных данных'!$D$83-W448)</f>
        <v>629.30000000000007</v>
      </c>
      <c r="AA448" s="1066">
        <v>-13.1</v>
      </c>
      <c r="AB448" s="1066"/>
      <c r="AC448" s="1066">
        <f t="shared" si="75"/>
        <v>30</v>
      </c>
      <c r="AD448" s="1066">
        <f>AC448*('Ввод исходных данных'!$D$83-AA448)</f>
        <v>933</v>
      </c>
      <c r="AE448" s="1067">
        <v>-19</v>
      </c>
      <c r="AF448" s="1067"/>
      <c r="AG448" s="1067">
        <v>31</v>
      </c>
      <c r="AH448" s="1067">
        <f>AG448*('Ввод исходных данных'!$D$83-AE448)</f>
        <v>1147</v>
      </c>
      <c r="AI448" s="1068">
        <v>-22.1</v>
      </c>
      <c r="AJ448" s="1068"/>
      <c r="AK448" s="1068">
        <v>31</v>
      </c>
      <c r="AL448" s="1068">
        <f>AK448*('Ввод исходных данных'!$D$83-AI448)</f>
        <v>1243.1000000000001</v>
      </c>
      <c r="AM448" s="1069">
        <v>-20.3</v>
      </c>
      <c r="AN448" s="1069"/>
      <c r="AO448" s="1069">
        <v>28</v>
      </c>
      <c r="AP448" s="1069">
        <f>AO448*('Ввод исходных данных'!$D$83-AM448)</f>
        <v>1072.3999999999999</v>
      </c>
      <c r="AQ448" s="1064">
        <v>-10.7</v>
      </c>
      <c r="AR448" s="1064"/>
      <c r="AS448" s="1064">
        <f t="shared" si="76"/>
        <v>31</v>
      </c>
      <c r="AT448" s="1064">
        <f>AS448*('Ввод исходных данных'!$D$83-AQ448)</f>
        <v>889.69999999999993</v>
      </c>
      <c r="AU448" s="1070">
        <v>-4.3</v>
      </c>
      <c r="AV448" s="1070"/>
      <c r="AW448" s="1070">
        <f t="shared" si="77"/>
        <v>30</v>
      </c>
      <c r="AX448" s="1070">
        <f>AW448*('Ввод исходных данных'!$D$83-AU448)</f>
        <v>669</v>
      </c>
      <c r="AY448" s="1071">
        <v>3.6</v>
      </c>
      <c r="AZ448" s="1071"/>
      <c r="BA448" s="1071">
        <f t="shared" si="78"/>
        <v>27</v>
      </c>
      <c r="BB448" s="1071">
        <f>BA448*('Ввод исходных данных'!$D$83-AY448)</f>
        <v>388.8</v>
      </c>
      <c r="BC448" s="1072">
        <v>12</v>
      </c>
      <c r="BD448" s="1072"/>
      <c r="BE448" s="1072">
        <f t="shared" si="70"/>
        <v>0</v>
      </c>
      <c r="BF448" s="1073">
        <f>BE448*('Ввод исходных данных'!$D$83-BC448)</f>
        <v>0</v>
      </c>
    </row>
    <row r="449" spans="2:58" ht="15.75" customHeight="1" x14ac:dyDescent="0.25">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6330.8</v>
      </c>
      <c r="J449" s="1059" t="str">
        <f t="shared" si="69"/>
        <v>6000-7000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118.3</v>
      </c>
      <c r="W449" s="1065">
        <v>-0.6</v>
      </c>
      <c r="X449" s="1065"/>
      <c r="Y449" s="1065">
        <f t="shared" si="74"/>
        <v>31</v>
      </c>
      <c r="Z449" s="1065">
        <f>Y449*('Ввод исходных данных'!$D$83-W449)</f>
        <v>576.6</v>
      </c>
      <c r="AA449" s="1066">
        <v>-10.199999999999999</v>
      </c>
      <c r="AB449" s="1066"/>
      <c r="AC449" s="1066">
        <f t="shared" si="75"/>
        <v>30</v>
      </c>
      <c r="AD449" s="1066">
        <f>AC449*('Ввод исходных данных'!$D$83-AA449)</f>
        <v>846</v>
      </c>
      <c r="AE449" s="1067">
        <v>-16.3</v>
      </c>
      <c r="AF449" s="1067"/>
      <c r="AG449" s="1067">
        <v>31</v>
      </c>
      <c r="AH449" s="1067">
        <f>AG449*('Ввод исходных данных'!$D$83-AE449)</f>
        <v>1063.3</v>
      </c>
      <c r="AI449" s="1068">
        <v>-19.8</v>
      </c>
      <c r="AJ449" s="1068"/>
      <c r="AK449" s="1068">
        <v>31</v>
      </c>
      <c r="AL449" s="1068">
        <f>AK449*('Ввод исходных данных'!$D$83-AI449)</f>
        <v>1171.8</v>
      </c>
      <c r="AM449" s="1069">
        <v>-18.399999999999999</v>
      </c>
      <c r="AN449" s="1069"/>
      <c r="AO449" s="1069">
        <v>28</v>
      </c>
      <c r="AP449" s="1069">
        <f>AO449*('Ввод исходных данных'!$D$83-AM449)</f>
        <v>1019.1999999999999</v>
      </c>
      <c r="AQ449" s="1064">
        <v>-10.1</v>
      </c>
      <c r="AR449" s="1064"/>
      <c r="AS449" s="1064">
        <f t="shared" si="76"/>
        <v>31</v>
      </c>
      <c r="AT449" s="1064">
        <f>AS449*('Ввод исходных данных'!$D$83-AQ449)</f>
        <v>871.1</v>
      </c>
      <c r="AU449" s="1070">
        <v>0.1</v>
      </c>
      <c r="AV449" s="1070"/>
      <c r="AW449" s="1070">
        <f t="shared" si="77"/>
        <v>30</v>
      </c>
      <c r="AX449" s="1070">
        <f>AW449*('Ввод исходных данных'!$D$83-AU449)</f>
        <v>537</v>
      </c>
      <c r="AY449" s="1071">
        <v>8.4</v>
      </c>
      <c r="AZ449" s="1071"/>
      <c r="BA449" s="1071">
        <f t="shared" si="78"/>
        <v>13</v>
      </c>
      <c r="BB449" s="1071">
        <f>BA449*('Ввод исходных данных'!$D$83-AY449)</f>
        <v>124.8</v>
      </c>
      <c r="BC449" s="1072">
        <v>14.9</v>
      </c>
      <c r="BD449" s="1072"/>
      <c r="BE449" s="1072">
        <f t="shared" si="70"/>
        <v>0</v>
      </c>
      <c r="BF449" s="1073">
        <f>BE449*('Ввод исходных данных'!$D$83-BC449)</f>
        <v>0</v>
      </c>
    </row>
    <row r="450" spans="2:58" ht="15.75" customHeight="1" x14ac:dyDescent="0.25">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7170.2999999999993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229.49999999999997</v>
      </c>
      <c r="W450" s="1065">
        <v>-1.4</v>
      </c>
      <c r="X450" s="1065"/>
      <c r="Y450" s="1065">
        <f t="shared" si="74"/>
        <v>31</v>
      </c>
      <c r="Z450" s="1065">
        <f>Y450*('Ввод исходных данных'!$D$83-W450)</f>
        <v>601.4</v>
      </c>
      <c r="AA450" s="1066">
        <v>-13.2</v>
      </c>
      <c r="AB450" s="1066"/>
      <c r="AC450" s="1066">
        <f t="shared" si="75"/>
        <v>30</v>
      </c>
      <c r="AD450" s="1066">
        <f>AC450*('Ввод исходных данных'!$D$83-AA450)</f>
        <v>936</v>
      </c>
      <c r="AE450" s="1067">
        <v>-20.3</v>
      </c>
      <c r="AF450" s="1067"/>
      <c r="AG450" s="1067">
        <v>31</v>
      </c>
      <c r="AH450" s="1067">
        <f>AG450*('Ввод исходных данных'!$D$83-AE450)</f>
        <v>1187.3</v>
      </c>
      <c r="AI450" s="1068">
        <v>-22</v>
      </c>
      <c r="AJ450" s="1068"/>
      <c r="AK450" s="1068">
        <v>31</v>
      </c>
      <c r="AL450" s="1068">
        <f>AK450*('Ввод исходных данных'!$D$83-AI450)</f>
        <v>1240</v>
      </c>
      <c r="AM450" s="1069">
        <v>-19.600000000000001</v>
      </c>
      <c r="AN450" s="1069"/>
      <c r="AO450" s="1069">
        <v>28</v>
      </c>
      <c r="AP450" s="1069">
        <f>AO450*('Ввод исходных данных'!$D$83-AM450)</f>
        <v>1052.8</v>
      </c>
      <c r="AQ450" s="1064">
        <v>-13.3</v>
      </c>
      <c r="AR450" s="1064"/>
      <c r="AS450" s="1064">
        <f t="shared" si="76"/>
        <v>31</v>
      </c>
      <c r="AT450" s="1064">
        <f>AS450*('Ввод исходных данных'!$D$83-AQ450)</f>
        <v>970.30000000000007</v>
      </c>
      <c r="AU450" s="1070">
        <v>-3.5</v>
      </c>
      <c r="AV450" s="1070"/>
      <c r="AW450" s="1070">
        <f t="shared" si="77"/>
        <v>30</v>
      </c>
      <c r="AX450" s="1070">
        <f>AW450*('Ввод исходных данных'!$D$83-AU450)</f>
        <v>645</v>
      </c>
      <c r="AY450" s="1071">
        <v>4.0999999999999996</v>
      </c>
      <c r="AZ450" s="1071"/>
      <c r="BA450" s="1071">
        <f t="shared" si="78"/>
        <v>22.5</v>
      </c>
      <c r="BB450" s="1071">
        <f>BA450*('Ввод исходных данных'!$D$83-AY450)</f>
        <v>312.75</v>
      </c>
      <c r="BC450" s="1072">
        <v>13</v>
      </c>
      <c r="BD450" s="1072"/>
      <c r="BE450" s="1072">
        <f t="shared" si="70"/>
        <v>0</v>
      </c>
      <c r="BF450" s="1073">
        <f>BE450*('Ввод исходных данных'!$D$83-BC450)</f>
        <v>0</v>
      </c>
    </row>
    <row r="451" spans="2:58" ht="15.75" customHeight="1" x14ac:dyDescent="0.25">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6619.6</v>
      </c>
      <c r="J451" s="1059" t="str">
        <f t="shared" si="69"/>
        <v>6000-7000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176.75</v>
      </c>
      <c r="W451" s="1065">
        <v>-0.4</v>
      </c>
      <c r="X451" s="1065"/>
      <c r="Y451" s="1065">
        <f t="shared" si="74"/>
        <v>31</v>
      </c>
      <c r="Z451" s="1065">
        <f>Y451*('Ввод исходных данных'!$D$83-W451)</f>
        <v>570.4</v>
      </c>
      <c r="AA451" s="1066">
        <v>-10.4</v>
      </c>
      <c r="AB451" s="1066"/>
      <c r="AC451" s="1066">
        <f t="shared" si="75"/>
        <v>30</v>
      </c>
      <c r="AD451" s="1066">
        <f>AC451*('Ввод исходных данных'!$D$83-AA451)</f>
        <v>852</v>
      </c>
      <c r="AE451" s="1067">
        <v>-16.899999999999999</v>
      </c>
      <c r="AF451" s="1067"/>
      <c r="AG451" s="1067">
        <v>31</v>
      </c>
      <c r="AH451" s="1067">
        <f>AG451*('Ввод исходных данных'!$D$83-AE451)</f>
        <v>1081.8999999999999</v>
      </c>
      <c r="AI451" s="1068">
        <v>-19.8</v>
      </c>
      <c r="AJ451" s="1068"/>
      <c r="AK451" s="1068">
        <v>31</v>
      </c>
      <c r="AL451" s="1068">
        <f>AK451*('Ввод исходных данных'!$D$83-AI451)</f>
        <v>1171.8</v>
      </c>
      <c r="AM451" s="1069">
        <v>-18.3</v>
      </c>
      <c r="AN451" s="1069"/>
      <c r="AO451" s="1069">
        <v>28</v>
      </c>
      <c r="AP451" s="1069">
        <f>AO451*('Ввод исходных данных'!$D$83-AM451)</f>
        <v>1016.3999999999999</v>
      </c>
      <c r="AQ451" s="1064">
        <v>-8.5</v>
      </c>
      <c r="AR451" s="1064"/>
      <c r="AS451" s="1064">
        <f t="shared" si="76"/>
        <v>31</v>
      </c>
      <c r="AT451" s="1064">
        <f>AS451*('Ввод исходных данных'!$D$83-AQ451)</f>
        <v>821.5</v>
      </c>
      <c r="AU451" s="1070">
        <v>-1.2</v>
      </c>
      <c r="AV451" s="1070"/>
      <c r="AW451" s="1070">
        <f t="shared" si="77"/>
        <v>30</v>
      </c>
      <c r="AX451" s="1070">
        <f>AW451*('Ввод исходных данных'!$D$83-AU451)</f>
        <v>576</v>
      </c>
      <c r="AY451" s="1071">
        <v>6.9</v>
      </c>
      <c r="AZ451" s="1071"/>
      <c r="BA451" s="1071">
        <f t="shared" si="78"/>
        <v>17.5</v>
      </c>
      <c r="BB451" s="1071">
        <f>BA451*('Ввод исходных данных'!$D$83-AY451)</f>
        <v>194.25</v>
      </c>
      <c r="BC451" s="1072">
        <v>14.5</v>
      </c>
      <c r="BD451" s="1072"/>
      <c r="BE451" s="1072">
        <f t="shared" si="70"/>
        <v>0</v>
      </c>
      <c r="BF451" s="1073">
        <f>BE451*('Ввод исходных данных'!$D$83-BC451)</f>
        <v>0</v>
      </c>
    </row>
    <row r="452" spans="2:58" ht="15.75" customHeight="1" x14ac:dyDescent="0.25">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5635.5</v>
      </c>
      <c r="J452" s="1059" t="str">
        <f t="shared" si="69"/>
        <v>5000-6000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36.9</v>
      </c>
      <c r="W452" s="1065">
        <v>1.5</v>
      </c>
      <c r="X452" s="1065"/>
      <c r="Y452" s="1065">
        <f t="shared" si="74"/>
        <v>31</v>
      </c>
      <c r="Z452" s="1065">
        <f>Y452*('Ввод исходных данных'!$D$83-W452)</f>
        <v>511.5</v>
      </c>
      <c r="AA452" s="1066">
        <v>-6.5</v>
      </c>
      <c r="AB452" s="1066"/>
      <c r="AC452" s="1066">
        <f t="shared" si="75"/>
        <v>30</v>
      </c>
      <c r="AD452" s="1066">
        <f>AC452*('Ввод исходных данных'!$D$83-AA452)</f>
        <v>735</v>
      </c>
      <c r="AE452" s="1067">
        <v>-14</v>
      </c>
      <c r="AF452" s="1067"/>
      <c r="AG452" s="1067">
        <v>31</v>
      </c>
      <c r="AH452" s="1067">
        <f>AG452*('Ввод исходных данных'!$D$83-AE452)</f>
        <v>992</v>
      </c>
      <c r="AI452" s="1068">
        <v>-16.399999999999999</v>
      </c>
      <c r="AJ452" s="1068"/>
      <c r="AK452" s="1068">
        <v>31</v>
      </c>
      <c r="AL452" s="1068">
        <f>AK452*('Ввод исходных данных'!$D$83-AI452)</f>
        <v>1066.3999999999999</v>
      </c>
      <c r="AM452" s="1069">
        <v>-15.9</v>
      </c>
      <c r="AN452" s="1069"/>
      <c r="AO452" s="1069">
        <v>28</v>
      </c>
      <c r="AP452" s="1069">
        <f>AO452*('Ввод исходных данных'!$D$83-AM452)</f>
        <v>949.19999999999993</v>
      </c>
      <c r="AQ452" s="1064">
        <v>9</v>
      </c>
      <c r="AR452" s="1064"/>
      <c r="AS452" s="1064">
        <f t="shared" si="76"/>
        <v>31</v>
      </c>
      <c r="AT452" s="1064">
        <f>AS452*('Ввод исходных данных'!$D$83-AQ452)</f>
        <v>279</v>
      </c>
      <c r="AU452" s="1070">
        <v>2.9</v>
      </c>
      <c r="AV452" s="1070"/>
      <c r="AW452" s="1070">
        <f t="shared" si="77"/>
        <v>30</v>
      </c>
      <c r="AX452" s="1070">
        <f>AW452*('Ввод исходных данных'!$D$83-AU452)</f>
        <v>453</v>
      </c>
      <c r="AY452" s="1071">
        <v>11.1</v>
      </c>
      <c r="AZ452" s="1071"/>
      <c r="BA452" s="1071">
        <f t="shared" si="78"/>
        <v>4.5</v>
      </c>
      <c r="BB452" s="1071">
        <f>BA452*('Ввод исходных данных'!$D$83-AY452)</f>
        <v>31.05</v>
      </c>
      <c r="BC452" s="1072">
        <v>15.9</v>
      </c>
      <c r="BD452" s="1072"/>
      <c r="BE452" s="1072">
        <f t="shared" si="70"/>
        <v>0</v>
      </c>
      <c r="BF452" s="1073">
        <f>BE452*('Ввод исходных данных'!$D$83-BC452)</f>
        <v>0</v>
      </c>
    </row>
    <row r="453" spans="2:58" ht="15.75" customHeight="1" x14ac:dyDescent="0.25">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5679.2</v>
      </c>
      <c r="J453" s="1059" t="str">
        <f t="shared" si="69"/>
        <v>5000-6000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79.900000000000006</v>
      </c>
      <c r="W453" s="1065">
        <v>1.2</v>
      </c>
      <c r="X453" s="1065"/>
      <c r="Y453" s="1065">
        <f t="shared" si="74"/>
        <v>31</v>
      </c>
      <c r="Z453" s="1065">
        <f>Y453*('Ввод исходных данных'!$D$83-W453)</f>
        <v>520.80000000000007</v>
      </c>
      <c r="AA453" s="1066">
        <v>-7</v>
      </c>
      <c r="AB453" s="1066"/>
      <c r="AC453" s="1066">
        <f t="shared" si="75"/>
        <v>30</v>
      </c>
      <c r="AD453" s="1066">
        <f>AC453*('Ввод исходных данных'!$D$83-AA453)</f>
        <v>750</v>
      </c>
      <c r="AE453" s="1067">
        <v>-14</v>
      </c>
      <c r="AF453" s="1067"/>
      <c r="AG453" s="1067">
        <v>31</v>
      </c>
      <c r="AH453" s="1067">
        <f>AG453*('Ввод исходных данных'!$D$83-AE453)</f>
        <v>992</v>
      </c>
      <c r="AI453" s="1068">
        <v>-16.3</v>
      </c>
      <c r="AJ453" s="1068"/>
      <c r="AK453" s="1068">
        <v>31</v>
      </c>
      <c r="AL453" s="1068">
        <f>AK453*('Ввод исходных данных'!$D$83-AI453)</f>
        <v>1063.3</v>
      </c>
      <c r="AM453" s="1069">
        <v>-14.8</v>
      </c>
      <c r="AN453" s="1069"/>
      <c r="AO453" s="1069">
        <v>28</v>
      </c>
      <c r="AP453" s="1069">
        <f>AO453*('Ввод исходных данных'!$D$83-AM453)</f>
        <v>918.39999999999986</v>
      </c>
      <c r="AQ453" s="1064">
        <v>-7.6</v>
      </c>
      <c r="AR453" s="1064"/>
      <c r="AS453" s="1064">
        <f t="shared" si="76"/>
        <v>31</v>
      </c>
      <c r="AT453" s="1064">
        <f>AS453*('Ввод исходных данных'!$D$83-AQ453)</f>
        <v>793.6</v>
      </c>
      <c r="AU453" s="1070">
        <v>2.6</v>
      </c>
      <c r="AV453" s="1070"/>
      <c r="AW453" s="1070">
        <f t="shared" si="77"/>
        <v>30</v>
      </c>
      <c r="AX453" s="1070">
        <f>AW453*('Ввод исходных данных'!$D$83-AU453)</f>
        <v>462</v>
      </c>
      <c r="AY453" s="1071">
        <v>10</v>
      </c>
      <c r="AZ453" s="1071"/>
      <c r="BA453" s="1071">
        <f t="shared" si="78"/>
        <v>8.5</v>
      </c>
      <c r="BB453" s="1071">
        <f>BA453*('Ввод исходных данных'!$D$83-AY453)</f>
        <v>68</v>
      </c>
      <c r="BC453" s="1072">
        <v>14.6</v>
      </c>
      <c r="BD453" s="1072"/>
      <c r="BE453" s="1072">
        <f t="shared" si="70"/>
        <v>0</v>
      </c>
      <c r="BF453" s="1073">
        <f>BE453*('Ввод исходных данных'!$D$83-BC453)</f>
        <v>0</v>
      </c>
    </row>
    <row r="454" spans="2:58" ht="15.75" customHeight="1" x14ac:dyDescent="0.25">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5341</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21.900000000000002</v>
      </c>
      <c r="W454" s="1065">
        <v>2.4</v>
      </c>
      <c r="X454" s="1065"/>
      <c r="Y454" s="1065">
        <f t="shared" si="74"/>
        <v>31</v>
      </c>
      <c r="Z454" s="1065">
        <f>Y454*('Ввод исходных данных'!$D$83-W454)</f>
        <v>483.59999999999997</v>
      </c>
      <c r="AA454" s="1066">
        <v>-6.2</v>
      </c>
      <c r="AB454" s="1066"/>
      <c r="AC454" s="1066">
        <f t="shared" si="75"/>
        <v>30</v>
      </c>
      <c r="AD454" s="1066">
        <f>AC454*('Ввод исходных данных'!$D$83-AA454)</f>
        <v>726</v>
      </c>
      <c r="AE454" s="1067">
        <v>-12.9</v>
      </c>
      <c r="AF454" s="1067"/>
      <c r="AG454" s="1067">
        <v>31</v>
      </c>
      <c r="AH454" s="1067">
        <f>AG454*('Ввод исходных данных'!$D$83-AE454)</f>
        <v>957.9</v>
      </c>
      <c r="AI454" s="1068">
        <v>-15.8</v>
      </c>
      <c r="AJ454" s="1068"/>
      <c r="AK454" s="1068">
        <v>31</v>
      </c>
      <c r="AL454" s="1068">
        <f>AK454*('Ввод исходных данных'!$D$83-AI454)</f>
        <v>1047.8</v>
      </c>
      <c r="AM454" s="1069">
        <v>-14.3</v>
      </c>
      <c r="AN454" s="1069"/>
      <c r="AO454" s="1069">
        <v>28</v>
      </c>
      <c r="AP454" s="1069">
        <f>AO454*('Ввод исходных данных'!$D$83-AM454)</f>
        <v>904.39999999999986</v>
      </c>
      <c r="AQ454" s="1064">
        <v>-7.4</v>
      </c>
      <c r="AR454" s="1064"/>
      <c r="AS454" s="1064">
        <f t="shared" si="76"/>
        <v>31</v>
      </c>
      <c r="AT454" s="1064">
        <f>AS454*('Ввод исходных данных'!$D$83-AQ454)</f>
        <v>787.4</v>
      </c>
      <c r="AU454" s="1070">
        <v>3.9</v>
      </c>
      <c r="AV454" s="1070"/>
      <c r="AW454" s="1070">
        <f t="shared" si="77"/>
        <v>30</v>
      </c>
      <c r="AX454" s="1070">
        <f>AW454*('Ввод исходных данных'!$D$83-AU454)</f>
        <v>423</v>
      </c>
      <c r="AY454" s="1071">
        <v>11.9</v>
      </c>
      <c r="AZ454" s="1071"/>
      <c r="BA454" s="1071">
        <f t="shared" si="78"/>
        <v>3</v>
      </c>
      <c r="BB454" s="1071">
        <f>BA454*('Ввод исходных данных'!$D$83-AY454)</f>
        <v>18.299999999999997</v>
      </c>
      <c r="BC454" s="1072">
        <v>16.8</v>
      </c>
      <c r="BD454" s="1072"/>
      <c r="BE454" s="1072">
        <f t="shared" si="70"/>
        <v>0</v>
      </c>
      <c r="BF454" s="1073">
        <f>BE454*('Ввод исходных данных'!$D$83-BC454)</f>
        <v>0</v>
      </c>
    </row>
    <row r="455" spans="2:58" ht="15.75" customHeight="1" x14ac:dyDescent="0.25">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2718.9</v>
      </c>
      <c r="J455" s="1059" t="str">
        <f t="shared" si="69"/>
        <v>2000-3000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28.799999999999997</v>
      </c>
      <c r="AA455" s="1066">
        <v>4.7</v>
      </c>
      <c r="AB455" s="1066"/>
      <c r="AC455" s="1066">
        <f t="shared" si="75"/>
        <v>30</v>
      </c>
      <c r="AD455" s="1066">
        <f>AC455*('Ввод исходных данных'!$D$83-AA455)</f>
        <v>399</v>
      </c>
      <c r="AE455" s="1067">
        <v>-0.3</v>
      </c>
      <c r="AF455" s="1067"/>
      <c r="AG455" s="1067">
        <v>31</v>
      </c>
      <c r="AH455" s="1067">
        <f>AG455*('Ввод исходных данных'!$D$83-AE455)</f>
        <v>567.30000000000007</v>
      </c>
      <c r="AI455" s="1068">
        <v>-2.2000000000000002</v>
      </c>
      <c r="AJ455" s="1068"/>
      <c r="AK455" s="1068">
        <v>31</v>
      </c>
      <c r="AL455" s="1068">
        <f>AK455*('Ввод исходных данных'!$D$83-AI455)</f>
        <v>626.19999999999993</v>
      </c>
      <c r="AM455" s="1069">
        <v>-1.9</v>
      </c>
      <c r="AN455" s="1069"/>
      <c r="AO455" s="1069">
        <v>28</v>
      </c>
      <c r="AP455" s="1069">
        <f>AO455*('Ввод исходных данных'!$D$83-AM455)</f>
        <v>557.19999999999993</v>
      </c>
      <c r="AQ455" s="1064">
        <v>3.5</v>
      </c>
      <c r="AR455" s="1064"/>
      <c r="AS455" s="1064">
        <f t="shared" si="76"/>
        <v>31</v>
      </c>
      <c r="AT455" s="1064">
        <f>AS455*('Ввод исходных данных'!$D$83-AQ455)</f>
        <v>449.5</v>
      </c>
      <c r="AU455" s="1070">
        <v>10.9</v>
      </c>
      <c r="AV455" s="1070"/>
      <c r="AW455" s="1070">
        <f t="shared" si="77"/>
        <v>4</v>
      </c>
      <c r="AX455" s="1070">
        <f>AW455*('Ввод исходных данных'!$D$83-AU455)</f>
        <v>28.4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25">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4657.5</v>
      </c>
      <c r="J456" s="1059" t="str">
        <f t="shared" si="69"/>
        <v>4000-5000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389.2</v>
      </c>
      <c r="AA456" s="1066">
        <v>-3</v>
      </c>
      <c r="AB456" s="1066"/>
      <c r="AC456" s="1066">
        <f t="shared" si="75"/>
        <v>30</v>
      </c>
      <c r="AD456" s="1066">
        <f>AC456*('Ввод исходных данных'!$D$83-AA456)</f>
        <v>630</v>
      </c>
      <c r="AE456" s="1067">
        <v>-8.5</v>
      </c>
      <c r="AF456" s="1067"/>
      <c r="AG456" s="1067">
        <v>31</v>
      </c>
      <c r="AH456" s="1067">
        <f>AG456*('Ввод исходных данных'!$D$83-AE456)</f>
        <v>821.5</v>
      </c>
      <c r="AI456" s="1068">
        <v>-10.8</v>
      </c>
      <c r="AJ456" s="1068"/>
      <c r="AK456" s="1068">
        <v>31</v>
      </c>
      <c r="AL456" s="1068">
        <f>AK456*('Ввод исходных данных'!$D$83-AI456)</f>
        <v>892.80000000000007</v>
      </c>
      <c r="AM456" s="1069">
        <v>-10.5</v>
      </c>
      <c r="AN456" s="1069"/>
      <c r="AO456" s="1069">
        <v>28</v>
      </c>
      <c r="AP456" s="1069">
        <f>AO456*('Ввод исходных данных'!$D$83-AM456)</f>
        <v>798</v>
      </c>
      <c r="AQ456" s="1064">
        <v>-4.3</v>
      </c>
      <c r="AR456" s="1064"/>
      <c r="AS456" s="1064">
        <f t="shared" si="76"/>
        <v>31</v>
      </c>
      <c r="AT456" s="1064">
        <f>AS456*('Ввод исходных данных'!$D$83-AQ456)</f>
        <v>691.30000000000007</v>
      </c>
      <c r="AU456" s="1070">
        <v>5.7</v>
      </c>
      <c r="AV456" s="1070"/>
      <c r="AW456" s="1070">
        <f t="shared" si="77"/>
        <v>28</v>
      </c>
      <c r="AX456" s="1070">
        <f>AW456*('Ввод исходных данных'!$D$83-AU456)</f>
        <v>344.40000000000003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25">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4969.2999999999993</v>
      </c>
      <c r="J457" s="1059" t="str">
        <f t="shared" ref="J457:J475" si="81">CONCATENATE(ROUNDDOWN(I457/1000,0)*1000,"-",ROUNDUP(I457/1000,0)*1000)</f>
        <v>4000-5000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18</v>
      </c>
      <c r="W457" s="1065">
        <v>3.3</v>
      </c>
      <c r="X457" s="1065"/>
      <c r="Y457" s="1065">
        <f t="shared" si="74"/>
        <v>31</v>
      </c>
      <c r="Z457" s="1065">
        <f>Y457*('Ввод исходных данных'!$D$83-W457)</f>
        <v>455.7</v>
      </c>
      <c r="AA457" s="1066">
        <v>-3.7</v>
      </c>
      <c r="AB457" s="1066"/>
      <c r="AC457" s="1066">
        <f t="shared" si="75"/>
        <v>30</v>
      </c>
      <c r="AD457" s="1066">
        <f>AC457*('Ввод исходных данных'!$D$83-AA457)</f>
        <v>651</v>
      </c>
      <c r="AE457" s="1067">
        <v>-10</v>
      </c>
      <c r="AF457" s="1067"/>
      <c r="AG457" s="1067">
        <v>31</v>
      </c>
      <c r="AH457" s="1067">
        <f>AG457*('Ввод исходных данных'!$D$83-AE457)</f>
        <v>868</v>
      </c>
      <c r="AI457" s="1068">
        <v>-13</v>
      </c>
      <c r="AJ457" s="1068"/>
      <c r="AK457" s="1068">
        <v>31</v>
      </c>
      <c r="AL457" s="1068">
        <f>AK457*('Ввод исходных данных'!$D$83-AI457)</f>
        <v>961</v>
      </c>
      <c r="AM457" s="1069">
        <v>-12.4</v>
      </c>
      <c r="AN457" s="1069"/>
      <c r="AO457" s="1069">
        <v>28</v>
      </c>
      <c r="AP457" s="1069">
        <f>AO457*('Ввод исходных данных'!$D$83-AM457)</f>
        <v>851.19999999999993</v>
      </c>
      <c r="AQ457" s="1064">
        <v>-6</v>
      </c>
      <c r="AR457" s="1064"/>
      <c r="AS457" s="1064">
        <f t="shared" si="76"/>
        <v>31</v>
      </c>
      <c r="AT457" s="1064">
        <f>AS457*('Ввод исходных данных'!$D$83-AQ457)</f>
        <v>744</v>
      </c>
      <c r="AU457" s="1070">
        <v>3.6</v>
      </c>
      <c r="AV457" s="1070"/>
      <c r="AW457" s="1070">
        <f t="shared" si="77"/>
        <v>30</v>
      </c>
      <c r="AX457" s="1070">
        <f>AW457*('Ввод исходных данных'!$D$83-AU457)</f>
        <v>432</v>
      </c>
      <c r="AY457" s="1071">
        <v>12</v>
      </c>
      <c r="AZ457" s="1071"/>
      <c r="BA457" s="1071">
        <f t="shared" si="78"/>
        <v>2.5</v>
      </c>
      <c r="BB457" s="1071">
        <f>BA457*('Ввод исходных данных'!$D$83-AY457)</f>
        <v>15</v>
      </c>
      <c r="BC457" s="1072">
        <v>16.5</v>
      </c>
      <c r="BD457" s="1072"/>
      <c r="BE457" s="1072">
        <f t="shared" si="70"/>
        <v>0</v>
      </c>
      <c r="BF457" s="1073">
        <f>BE457*('Ввод исходных данных'!$D$83-BC457)</f>
        <v>0</v>
      </c>
    </row>
    <row r="458" spans="2:58" ht="15.75" customHeight="1" x14ac:dyDescent="0.25">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8760.7000000000007</v>
      </c>
      <c r="J458" s="1059" t="str">
        <f t="shared" si="81"/>
        <v>8000-9000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104</v>
      </c>
      <c r="S458" s="1064">
        <v>4.5</v>
      </c>
      <c r="T458" s="1064"/>
      <c r="U458" s="1064">
        <f t="shared" si="73"/>
        <v>30</v>
      </c>
      <c r="V458" s="1064">
        <f>U458*('Ввод исходных данных'!$D$83-S458)</f>
        <v>405</v>
      </c>
      <c r="W458" s="1065">
        <v>-5.3</v>
      </c>
      <c r="X458" s="1065"/>
      <c r="Y458" s="1065">
        <f t="shared" si="74"/>
        <v>31</v>
      </c>
      <c r="Z458" s="1065">
        <f>Y458*('Ввод исходных данных'!$D$83-W458)</f>
        <v>722.30000000000007</v>
      </c>
      <c r="AA458" s="1066">
        <v>-14.1</v>
      </c>
      <c r="AB458" s="1066"/>
      <c r="AC458" s="1066">
        <f t="shared" si="75"/>
        <v>30</v>
      </c>
      <c r="AD458" s="1066">
        <f>AC458*('Ввод исходных данных'!$D$83-AA458)</f>
        <v>963</v>
      </c>
      <c r="AE458" s="1067">
        <v>-20.100000000000001</v>
      </c>
      <c r="AF458" s="1067"/>
      <c r="AG458" s="1067">
        <v>31</v>
      </c>
      <c r="AH458" s="1067">
        <f>AG458*('Ввод исходных данных'!$D$83-AE458)</f>
        <v>1181.1000000000001</v>
      </c>
      <c r="AI458" s="1068">
        <v>-21.1</v>
      </c>
      <c r="AJ458" s="1068"/>
      <c r="AK458" s="1068">
        <v>31</v>
      </c>
      <c r="AL458" s="1068">
        <f>AK458*('Ввод исходных данных'!$D$83-AI458)</f>
        <v>1212.1000000000001</v>
      </c>
      <c r="AM458" s="1069">
        <v>-22.2</v>
      </c>
      <c r="AN458" s="1069"/>
      <c r="AO458" s="1069">
        <v>28</v>
      </c>
      <c r="AP458" s="1069">
        <f>AO458*('Ввод исходных данных'!$D$83-AM458)</f>
        <v>1125.6000000000001</v>
      </c>
      <c r="AQ458" s="1064">
        <v>-19.600000000000001</v>
      </c>
      <c r="AR458" s="1064"/>
      <c r="AS458" s="1064">
        <f t="shared" si="76"/>
        <v>31</v>
      </c>
      <c r="AT458" s="1064">
        <f>AS458*('Ввод исходных данных'!$D$83-AQ458)</f>
        <v>1165.6000000000001</v>
      </c>
      <c r="AU458" s="1070">
        <v>-13.4</v>
      </c>
      <c r="AV458" s="1070"/>
      <c r="AW458" s="1070">
        <f t="shared" si="77"/>
        <v>30</v>
      </c>
      <c r="AX458" s="1070">
        <f>AW458*('Ввод исходных данных'!$D$83-AU458)</f>
        <v>942</v>
      </c>
      <c r="AY458" s="1071">
        <v>-2.1</v>
      </c>
      <c r="AZ458" s="1071"/>
      <c r="BA458" s="1071">
        <f t="shared" si="78"/>
        <v>31</v>
      </c>
      <c r="BB458" s="1071">
        <f>BA458*('Ввод исходных данных'!$D$83-AY458)</f>
        <v>623.1</v>
      </c>
      <c r="BC458" s="1072">
        <v>5.9</v>
      </c>
      <c r="BD458" s="1072"/>
      <c r="BE458" s="1072">
        <f t="shared" ref="BE458:BE476" si="82">IF((E458-273)&gt;0,IF((E458-273)/2&gt;30,30,(E458-273)/2),0)</f>
        <v>13</v>
      </c>
      <c r="BF458" s="1073">
        <f>BE458*('Ввод исходных данных'!$D$83-BC458)</f>
        <v>157.29999999999998</v>
      </c>
    </row>
    <row r="459" spans="2:58" ht="15.75" customHeight="1" x14ac:dyDescent="0.25">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9353.6</v>
      </c>
      <c r="J459" s="1059" t="str">
        <f t="shared" si="81"/>
        <v>9000-10000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97.75</v>
      </c>
      <c r="S459" s="1064">
        <v>3.1</v>
      </c>
      <c r="T459" s="1064"/>
      <c r="U459" s="1064">
        <f t="shared" ref="U459:U522" si="85">IF((E459-212)&gt;0,IF((E459-212)/2&gt;30,30,(E459-212)/2),0)</f>
        <v>30</v>
      </c>
      <c r="V459" s="1064">
        <f>U459*('Ввод исходных данных'!$D$83-S459)</f>
        <v>447</v>
      </c>
      <c r="W459" s="1065">
        <v>-8.6999999999999993</v>
      </c>
      <c r="X459" s="1065"/>
      <c r="Y459" s="1065">
        <f t="shared" ref="Y459:Y522" si="86">IF((E459-151)&gt;0,IF((E459-151)/2&gt;31,31,(E459-151)/2),0)</f>
        <v>31</v>
      </c>
      <c r="Z459" s="1065">
        <f>Y459*('Ввод исходных данных'!$D$83-W459)</f>
        <v>827.69999999999993</v>
      </c>
      <c r="AA459" s="1066">
        <v>-18.7</v>
      </c>
      <c r="AB459" s="1066"/>
      <c r="AC459" s="1066">
        <f t="shared" ref="AC459:AC522" si="87">IF((E459-90)/2&gt;30,30,(E459-90)/2)</f>
        <v>30</v>
      </c>
      <c r="AD459" s="1066">
        <f>AC459*('Ввод исходных данных'!$D$83-AA459)</f>
        <v>1101</v>
      </c>
      <c r="AE459" s="1067">
        <v>-25.3</v>
      </c>
      <c r="AF459" s="1067"/>
      <c r="AG459" s="1067">
        <v>31</v>
      </c>
      <c r="AH459" s="1067">
        <f>AG459*('Ввод исходных данных'!$D$83-AE459)</f>
        <v>1342.3</v>
      </c>
      <c r="AI459" s="1068">
        <v>-22.7</v>
      </c>
      <c r="AJ459" s="1068"/>
      <c r="AK459" s="1068">
        <v>31</v>
      </c>
      <c r="AL459" s="1068">
        <f>AK459*('Ввод исходных данных'!$D$83-AI459)</f>
        <v>1261.7</v>
      </c>
      <c r="AM459" s="1069">
        <v>-26.2</v>
      </c>
      <c r="AN459" s="1069"/>
      <c r="AO459" s="1069">
        <v>28</v>
      </c>
      <c r="AP459" s="1069">
        <f>AO459*('Ввод исходных данных'!$D$83-AM459)</f>
        <v>1237.6000000000001</v>
      </c>
      <c r="AQ459" s="1064">
        <v>-23.4</v>
      </c>
      <c r="AR459" s="1064"/>
      <c r="AS459" s="1064">
        <f t="shared" ref="AS459:AS522" si="88">IF((E459-90)/2&gt;31,31,(E459-90)/2)</f>
        <v>31</v>
      </c>
      <c r="AT459" s="1064">
        <f>AS459*('Ввод исходных данных'!$D$83-AQ459)</f>
        <v>1283.3999999999999</v>
      </c>
      <c r="AU459" s="1070">
        <v>-14.4</v>
      </c>
      <c r="AV459" s="1070"/>
      <c r="AW459" s="1070">
        <f t="shared" ref="AW459:AW522" si="89">IF((E459-151)&gt;0,IF((E459-151)/2&gt;30,30,(E459-151)/2),0)</f>
        <v>30</v>
      </c>
      <c r="AX459" s="1070">
        <f>AW459*('Ввод исходных данных'!$D$83-AU459)</f>
        <v>972</v>
      </c>
      <c r="AY459" s="1071">
        <v>-2</v>
      </c>
      <c r="AZ459" s="1071"/>
      <c r="BA459" s="1071">
        <f t="shared" ref="BA459:BA522" si="90">IF((E459-212)&gt;0,IF((E459-212)/2&gt;31,31,(E459-212)/2),0)</f>
        <v>31</v>
      </c>
      <c r="BB459" s="1071">
        <f>BA459*('Ввод исходных данных'!$D$83-AY459)</f>
        <v>620</v>
      </c>
      <c r="BC459" s="1072">
        <v>8.6</v>
      </c>
      <c r="BD459" s="1072"/>
      <c r="BE459" s="1072">
        <f t="shared" si="82"/>
        <v>11.5</v>
      </c>
      <c r="BF459" s="1073">
        <f>BE459*('Ввод исходных данных'!$D$83-BC459)</f>
        <v>108.10000000000001</v>
      </c>
    </row>
    <row r="460" spans="2:58" ht="15.75" customHeight="1" x14ac:dyDescent="0.25">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9124.1999999999989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1.6500000000000004</v>
      </c>
      <c r="S460" s="1064">
        <v>7.1</v>
      </c>
      <c r="T460" s="1064"/>
      <c r="U460" s="1064">
        <f t="shared" si="85"/>
        <v>30</v>
      </c>
      <c r="V460" s="1064">
        <f>U460*('Ввод исходных данных'!$D$83-S460)</f>
        <v>327</v>
      </c>
      <c r="W460" s="1065">
        <v>-7.9</v>
      </c>
      <c r="X460" s="1065"/>
      <c r="Y460" s="1065">
        <f t="shared" si="86"/>
        <v>31</v>
      </c>
      <c r="Z460" s="1065">
        <f>Y460*('Ввод исходных данных'!$D$83-W460)</f>
        <v>802.9</v>
      </c>
      <c r="AA460" s="1066">
        <v>-19</v>
      </c>
      <c r="AB460" s="1066"/>
      <c r="AC460" s="1066">
        <f t="shared" si="87"/>
        <v>30</v>
      </c>
      <c r="AD460" s="1066">
        <f>AC460*('Ввод исходных данных'!$D$83-AA460)</f>
        <v>1110</v>
      </c>
      <c r="AE460" s="1067">
        <v>-25.4</v>
      </c>
      <c r="AF460" s="1067"/>
      <c r="AG460" s="1067">
        <v>31</v>
      </c>
      <c r="AH460" s="1067">
        <f>AG460*('Ввод исходных данных'!$D$83-AE460)</f>
        <v>1345.3999999999999</v>
      </c>
      <c r="AI460" s="1068">
        <v>-25.9</v>
      </c>
      <c r="AJ460" s="1068"/>
      <c r="AK460" s="1068">
        <v>31</v>
      </c>
      <c r="AL460" s="1068">
        <f>AK460*('Ввод исходных данных'!$D$83-AI460)</f>
        <v>1360.8999999999999</v>
      </c>
      <c r="AM460" s="1069">
        <v>-25.4</v>
      </c>
      <c r="AN460" s="1069"/>
      <c r="AO460" s="1069">
        <v>28</v>
      </c>
      <c r="AP460" s="1069">
        <f>AO460*('Ввод исходных данных'!$D$83-AM460)</f>
        <v>1215.2</v>
      </c>
      <c r="AQ460" s="1064">
        <v>-21.5</v>
      </c>
      <c r="AR460" s="1064"/>
      <c r="AS460" s="1064">
        <f t="shared" si="88"/>
        <v>31</v>
      </c>
      <c r="AT460" s="1064">
        <f>AS460*('Ввод исходных данных'!$D$83-AQ460)</f>
        <v>1224.5</v>
      </c>
      <c r="AU460" s="1070">
        <v>-14.1</v>
      </c>
      <c r="AV460" s="1070"/>
      <c r="AW460" s="1070">
        <f t="shared" si="89"/>
        <v>30</v>
      </c>
      <c r="AX460" s="1070">
        <f>AW460*('Ввод исходных данных'!$D$83-AU460)</f>
        <v>963</v>
      </c>
      <c r="AY460" s="1071">
        <v>7.1</v>
      </c>
      <c r="AZ460" s="1071"/>
      <c r="BA460" s="1071">
        <f t="shared" si="90"/>
        <v>31</v>
      </c>
      <c r="BB460" s="1071">
        <f>BA460*('Ввод исходных данных'!$D$83-AY460)</f>
        <v>337.90000000000003</v>
      </c>
      <c r="BC460" s="1072">
        <v>15.2</v>
      </c>
      <c r="BD460" s="1072"/>
      <c r="BE460" s="1072">
        <f t="shared" si="82"/>
        <v>0.5</v>
      </c>
      <c r="BF460" s="1073">
        <f>BE460*('Ввод исходных данных'!$D$83-BC460)</f>
        <v>1.4000000000000004</v>
      </c>
    </row>
    <row r="461" spans="2:58" ht="15.75" customHeight="1" x14ac:dyDescent="0.25">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10697.4</v>
      </c>
      <c r="J461" s="1059" t="str">
        <f t="shared" si="81"/>
        <v>10000-11000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40.5</v>
      </c>
      <c r="S461" s="1064">
        <v>2.5</v>
      </c>
      <c r="T461" s="1064"/>
      <c r="U461" s="1064">
        <f t="shared" si="85"/>
        <v>30</v>
      </c>
      <c r="V461" s="1064">
        <f>U461*('Ввод исходных данных'!$D$83-S461)</f>
        <v>465</v>
      </c>
      <c r="W461" s="1065">
        <v>-12.1</v>
      </c>
      <c r="X461" s="1065"/>
      <c r="Y461" s="1065">
        <f t="shared" si="86"/>
        <v>31</v>
      </c>
      <c r="Z461" s="1065">
        <f>Y461*('Ввод исходных данных'!$D$83-W461)</f>
        <v>933.1</v>
      </c>
      <c r="AA461" s="1066">
        <v>-28.8</v>
      </c>
      <c r="AB461" s="1066"/>
      <c r="AC461" s="1066">
        <f t="shared" si="87"/>
        <v>30</v>
      </c>
      <c r="AD461" s="1066">
        <f>AC461*('Ввод исходных данных'!$D$83-AA461)</f>
        <v>1404</v>
      </c>
      <c r="AE461" s="1067">
        <v>-36.200000000000003</v>
      </c>
      <c r="AF461" s="1067"/>
      <c r="AG461" s="1067">
        <v>31</v>
      </c>
      <c r="AH461" s="1067">
        <f>AG461*('Ввод исходных данных'!$D$83-AE461)</f>
        <v>1680.2</v>
      </c>
      <c r="AI461" s="1068">
        <v>-36.4</v>
      </c>
      <c r="AJ461" s="1068"/>
      <c r="AK461" s="1068">
        <v>31</v>
      </c>
      <c r="AL461" s="1068">
        <f>AK461*('Ввод исходных данных'!$D$83-AI461)</f>
        <v>1686.3999999999999</v>
      </c>
      <c r="AM461" s="1069">
        <v>-35.6</v>
      </c>
      <c r="AN461" s="1069"/>
      <c r="AO461" s="1069">
        <v>28</v>
      </c>
      <c r="AP461" s="1069">
        <f>AO461*('Ввод исходных данных'!$D$83-AM461)</f>
        <v>1500.8</v>
      </c>
      <c r="AQ461" s="1064">
        <v>-28.2</v>
      </c>
      <c r="AR461" s="1064"/>
      <c r="AS461" s="1064">
        <f t="shared" si="88"/>
        <v>31</v>
      </c>
      <c r="AT461" s="1064">
        <f>AS461*('Ввод исходных данных'!$D$83-AQ461)</f>
        <v>1432.2</v>
      </c>
      <c r="AU461" s="1070">
        <v>-14.6</v>
      </c>
      <c r="AV461" s="1070"/>
      <c r="AW461" s="1070">
        <f t="shared" si="89"/>
        <v>30</v>
      </c>
      <c r="AX461" s="1070">
        <f>AW461*('Ввод исходных данных'!$D$83-AU461)</f>
        <v>978</v>
      </c>
      <c r="AY461" s="1071">
        <v>1.1000000000000001</v>
      </c>
      <c r="AZ461" s="1071"/>
      <c r="BA461" s="1071">
        <f t="shared" si="90"/>
        <v>31</v>
      </c>
      <c r="BB461" s="1071">
        <f>BA461*('Ввод исходных данных'!$D$83-AY461)</f>
        <v>523.9</v>
      </c>
      <c r="BC461" s="1072">
        <v>11.6</v>
      </c>
      <c r="BD461" s="1072"/>
      <c r="BE461" s="1072">
        <f t="shared" si="82"/>
        <v>5</v>
      </c>
      <c r="BF461" s="1073">
        <f>BE461*('Ввод исходных данных'!$D$83-BC461)</f>
        <v>32</v>
      </c>
    </row>
    <row r="462" spans="2:58" ht="15.75" customHeight="1" x14ac:dyDescent="0.25">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10286</v>
      </c>
      <c r="J462" s="1059" t="str">
        <f t="shared" si="81"/>
        <v>10000-11000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20.5</v>
      </c>
      <c r="S462" s="1064">
        <v>2.7</v>
      </c>
      <c r="T462" s="1064"/>
      <c r="U462" s="1064">
        <f t="shared" si="85"/>
        <v>30</v>
      </c>
      <c r="V462" s="1064">
        <f>U462*('Ввод исходных данных'!$D$83-S462)</f>
        <v>459</v>
      </c>
      <c r="W462" s="1065">
        <v>-11.3</v>
      </c>
      <c r="X462" s="1065"/>
      <c r="Y462" s="1065">
        <f t="shared" si="86"/>
        <v>31</v>
      </c>
      <c r="Z462" s="1065">
        <f>Y462*('Ввод исходных данных'!$D$83-W462)</f>
        <v>908.30000000000007</v>
      </c>
      <c r="AA462" s="1066">
        <v>-25.8</v>
      </c>
      <c r="AB462" s="1066"/>
      <c r="AC462" s="1066">
        <f t="shared" si="87"/>
        <v>30</v>
      </c>
      <c r="AD462" s="1066">
        <f>AC462*('Ввод исходных данных'!$D$83-AA462)</f>
        <v>1314</v>
      </c>
      <c r="AE462" s="1067">
        <v>-33.299999999999997</v>
      </c>
      <c r="AF462" s="1067"/>
      <c r="AG462" s="1067">
        <v>31</v>
      </c>
      <c r="AH462" s="1067">
        <f>AG462*('Ввод исходных данных'!$D$83-AE462)</f>
        <v>1590.3</v>
      </c>
      <c r="AI462" s="1068">
        <v>-34.4</v>
      </c>
      <c r="AJ462" s="1068"/>
      <c r="AK462" s="1068">
        <v>31</v>
      </c>
      <c r="AL462" s="1068">
        <f>AK462*('Ввод исходных данных'!$D$83-AI462)</f>
        <v>1624.3999999999999</v>
      </c>
      <c r="AM462" s="1069">
        <v>-32.700000000000003</v>
      </c>
      <c r="AN462" s="1069"/>
      <c r="AO462" s="1069">
        <v>28</v>
      </c>
      <c r="AP462" s="1069">
        <f>AO462*('Ввод исходных данных'!$D$83-AM462)</f>
        <v>1419.6000000000001</v>
      </c>
      <c r="AQ462" s="1064">
        <v>-24.8</v>
      </c>
      <c r="AR462" s="1064"/>
      <c r="AS462" s="1064">
        <f t="shared" si="88"/>
        <v>31</v>
      </c>
      <c r="AT462" s="1064">
        <f>AS462*('Ввод исходных данных'!$D$83-AQ462)</f>
        <v>1326.8</v>
      </c>
      <c r="AU462" s="1070">
        <v>-13.5</v>
      </c>
      <c r="AV462" s="1070"/>
      <c r="AW462" s="1070">
        <f t="shared" si="89"/>
        <v>30</v>
      </c>
      <c r="AX462" s="1070">
        <f>AW462*('Ввод исходных данных'!$D$83-AU462)</f>
        <v>945</v>
      </c>
      <c r="AY462" s="1071">
        <v>1.7</v>
      </c>
      <c r="AZ462" s="1071"/>
      <c r="BA462" s="1071">
        <f t="shared" si="90"/>
        <v>31</v>
      </c>
      <c r="BB462" s="1071">
        <f>BA462*('Ввод исходных данных'!$D$83-AY462)</f>
        <v>505.3</v>
      </c>
      <c r="BC462" s="1072">
        <v>11.7</v>
      </c>
      <c r="BD462" s="1072"/>
      <c r="BE462" s="1072">
        <f t="shared" si="82"/>
        <v>2.5</v>
      </c>
      <c r="BF462" s="1073">
        <f>BE462*('Ввод исходных данных'!$D$83-BC462)</f>
        <v>15.750000000000002</v>
      </c>
    </row>
    <row r="463" spans="2:58" ht="15.75" customHeight="1" x14ac:dyDescent="0.25">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10452.800000000001</v>
      </c>
      <c r="J463" s="1059" t="str">
        <f t="shared" si="81"/>
        <v>10000-11000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20.5</v>
      </c>
      <c r="S463" s="1064">
        <v>2.8</v>
      </c>
      <c r="T463" s="1064"/>
      <c r="U463" s="1064">
        <f t="shared" si="85"/>
        <v>30</v>
      </c>
      <c r="V463" s="1064">
        <f>U463*('Ввод исходных данных'!$D$83-S463)</f>
        <v>456</v>
      </c>
      <c r="W463" s="1065">
        <v>-11</v>
      </c>
      <c r="X463" s="1065"/>
      <c r="Y463" s="1065">
        <f t="shared" si="86"/>
        <v>31</v>
      </c>
      <c r="Z463" s="1065">
        <f>Y463*('Ввод исходных данных'!$D$83-W463)</f>
        <v>899</v>
      </c>
      <c r="AA463" s="1066">
        <v>-26.9</v>
      </c>
      <c r="AB463" s="1066"/>
      <c r="AC463" s="1066">
        <f t="shared" si="87"/>
        <v>30</v>
      </c>
      <c r="AD463" s="1066">
        <f>AC463*('Ввод исходных данных'!$D$83-AA463)</f>
        <v>1347</v>
      </c>
      <c r="AE463" s="1067">
        <v>-34.9</v>
      </c>
      <c r="AF463" s="1067"/>
      <c r="AG463" s="1067">
        <v>31</v>
      </c>
      <c r="AH463" s="1067">
        <f>AG463*('Ввод исходных данных'!$D$83-AE463)</f>
        <v>1639.8999999999999</v>
      </c>
      <c r="AI463" s="1068">
        <v>-36.200000000000003</v>
      </c>
      <c r="AJ463" s="1068"/>
      <c r="AK463" s="1068">
        <v>31</v>
      </c>
      <c r="AL463" s="1068">
        <f>AK463*('Ввод исходных данных'!$D$83-AI463)</f>
        <v>1680.2</v>
      </c>
      <c r="AM463" s="1069">
        <v>-33.9</v>
      </c>
      <c r="AN463" s="1069"/>
      <c r="AO463" s="1069">
        <v>28</v>
      </c>
      <c r="AP463" s="1069">
        <f>AO463*('Ввод исходных данных'!$D$83-AM463)</f>
        <v>1453.2</v>
      </c>
      <c r="AQ463" s="1064">
        <v>-25.6</v>
      </c>
      <c r="AR463" s="1064"/>
      <c r="AS463" s="1064">
        <f t="shared" si="88"/>
        <v>31</v>
      </c>
      <c r="AT463" s="1064">
        <f>AS463*('Ввод исходных данных'!$D$83-AQ463)</f>
        <v>1351.6000000000001</v>
      </c>
      <c r="AU463" s="1070">
        <v>-13.2</v>
      </c>
      <c r="AV463" s="1070"/>
      <c r="AW463" s="1070">
        <f t="shared" si="89"/>
        <v>30</v>
      </c>
      <c r="AX463" s="1070">
        <f>AW463*('Ввод исходных данных'!$D$83-AU463)</f>
        <v>936</v>
      </c>
      <c r="AY463" s="1071">
        <v>2.2000000000000002</v>
      </c>
      <c r="AZ463" s="1071"/>
      <c r="BA463" s="1071">
        <f t="shared" si="90"/>
        <v>31</v>
      </c>
      <c r="BB463" s="1071">
        <f>BA463*('Ввод исходных данных'!$D$83-AY463)</f>
        <v>489.8</v>
      </c>
      <c r="BC463" s="1072">
        <v>11.8</v>
      </c>
      <c r="BD463" s="1072"/>
      <c r="BE463" s="1072">
        <f t="shared" si="82"/>
        <v>2.5</v>
      </c>
      <c r="BF463" s="1073">
        <f>BE463*('Ввод исходных данных'!$D$83-BC463)</f>
        <v>15.499999999999998</v>
      </c>
    </row>
    <row r="464" spans="2:58" ht="15.75" customHeight="1" x14ac:dyDescent="0.25">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9423.9</v>
      </c>
      <c r="J464" s="1059" t="str">
        <f t="shared" si="81"/>
        <v>9000-10000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40.5</v>
      </c>
      <c r="S464" s="1064">
        <v>2.8</v>
      </c>
      <c r="T464" s="1064"/>
      <c r="U464" s="1064">
        <f t="shared" si="85"/>
        <v>30</v>
      </c>
      <c r="V464" s="1064">
        <f>U464*('Ввод исходных данных'!$D$83-S464)</f>
        <v>456</v>
      </c>
      <c r="W464" s="1065">
        <v>-9.3000000000000007</v>
      </c>
      <c r="X464" s="1065"/>
      <c r="Y464" s="1065">
        <f t="shared" si="86"/>
        <v>31</v>
      </c>
      <c r="Z464" s="1065">
        <f>Y464*('Ввод исходных данных'!$D$83-W464)</f>
        <v>846.30000000000007</v>
      </c>
      <c r="AA464" s="1066">
        <v>-19.600000000000001</v>
      </c>
      <c r="AB464" s="1066"/>
      <c r="AC464" s="1066">
        <f t="shared" si="87"/>
        <v>30</v>
      </c>
      <c r="AD464" s="1066">
        <f>AC464*('Ввод исходных данных'!$D$83-AA464)</f>
        <v>1128</v>
      </c>
      <c r="AE464" s="1067">
        <v>-25.3</v>
      </c>
      <c r="AF464" s="1067"/>
      <c r="AG464" s="1067">
        <v>31</v>
      </c>
      <c r="AH464" s="1067">
        <f>AG464*('Ввод исходных данных'!$D$83-AE464)</f>
        <v>1342.3</v>
      </c>
      <c r="AI464" s="1068">
        <v>-26.1</v>
      </c>
      <c r="AJ464" s="1068"/>
      <c r="AK464" s="1068">
        <v>31</v>
      </c>
      <c r="AL464" s="1068">
        <f>AK464*('Ввод исходных данных'!$D$83-AI464)</f>
        <v>1367.1000000000001</v>
      </c>
      <c r="AM464" s="1069">
        <v>-25.9</v>
      </c>
      <c r="AN464" s="1069"/>
      <c r="AO464" s="1069">
        <v>28</v>
      </c>
      <c r="AP464" s="1069">
        <f>AO464*('Ввод исходных данных'!$D$83-AM464)</f>
        <v>1229.2</v>
      </c>
      <c r="AQ464" s="1064">
        <v>-22.7</v>
      </c>
      <c r="AR464" s="1064"/>
      <c r="AS464" s="1064">
        <f t="shared" si="88"/>
        <v>31</v>
      </c>
      <c r="AT464" s="1064">
        <f>AS464*('Ввод исходных данных'!$D$83-AQ464)</f>
        <v>1261.7</v>
      </c>
      <c r="AU464" s="1070">
        <v>-15.6</v>
      </c>
      <c r="AV464" s="1070"/>
      <c r="AW464" s="1070">
        <f t="shared" si="89"/>
        <v>30</v>
      </c>
      <c r="AX464" s="1070">
        <f>AW464*('Ввод исходных данных'!$D$83-AU464)</f>
        <v>1008</v>
      </c>
      <c r="AY464" s="1071">
        <v>-0.9</v>
      </c>
      <c r="AZ464" s="1071"/>
      <c r="BA464" s="1071">
        <f t="shared" si="90"/>
        <v>31</v>
      </c>
      <c r="BB464" s="1071">
        <f>BA464*('Ввод исходных данных'!$D$83-AY464)</f>
        <v>585.9</v>
      </c>
      <c r="BC464" s="1072">
        <v>10.4</v>
      </c>
      <c r="BD464" s="1072"/>
      <c r="BE464" s="1072">
        <f t="shared" si="82"/>
        <v>5</v>
      </c>
      <c r="BF464" s="1073">
        <f>BE464*('Ввод исходных данных'!$D$83-BC464)</f>
        <v>38</v>
      </c>
    </row>
    <row r="465" spans="2:58" ht="15.75" customHeight="1" x14ac:dyDescent="0.25">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8201</v>
      </c>
      <c r="J465" s="1059" t="str">
        <f t="shared" si="81"/>
        <v>8000-9000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15</v>
      </c>
      <c r="S465" s="1064">
        <v>5.7</v>
      </c>
      <c r="T465" s="1064"/>
      <c r="U465" s="1064">
        <f t="shared" si="85"/>
        <v>30</v>
      </c>
      <c r="V465" s="1064">
        <f>U465*('Ввод исходных данных'!$D$83-S465)</f>
        <v>369</v>
      </c>
      <c r="W465" s="1065">
        <v>-4.2</v>
      </c>
      <c r="X465" s="1065"/>
      <c r="Y465" s="1065">
        <f t="shared" si="86"/>
        <v>31</v>
      </c>
      <c r="Z465" s="1065">
        <f>Y465*('Ввод исходных данных'!$D$83-W465)</f>
        <v>688.19999999999993</v>
      </c>
      <c r="AA465" s="1066">
        <v>-15.2</v>
      </c>
      <c r="AB465" s="1066"/>
      <c r="AC465" s="1066">
        <f t="shared" si="87"/>
        <v>30</v>
      </c>
      <c r="AD465" s="1066">
        <f>AC465*('Ввод исходных данных'!$D$83-AA465)</f>
        <v>996.00000000000011</v>
      </c>
      <c r="AE465" s="1067">
        <v>-20.9</v>
      </c>
      <c r="AF465" s="1067"/>
      <c r="AG465" s="1067">
        <v>31</v>
      </c>
      <c r="AH465" s="1067">
        <f>AG465*('Ввод исходных данных'!$D$83-AE465)</f>
        <v>1205.8999999999999</v>
      </c>
      <c r="AI465" s="1068">
        <v>-23.7</v>
      </c>
      <c r="AJ465" s="1068"/>
      <c r="AK465" s="1068">
        <v>31</v>
      </c>
      <c r="AL465" s="1068">
        <f>AK465*('Ввод исходных данных'!$D$83-AI465)</f>
        <v>1292.7</v>
      </c>
      <c r="AM465" s="1069">
        <v>-22.9</v>
      </c>
      <c r="AN465" s="1069"/>
      <c r="AO465" s="1069">
        <v>28</v>
      </c>
      <c r="AP465" s="1069">
        <f>AO465*('Ввод исходных данных'!$D$83-AM465)</f>
        <v>1145.2</v>
      </c>
      <c r="AQ465" s="1064">
        <v>-14.4</v>
      </c>
      <c r="AR465" s="1064"/>
      <c r="AS465" s="1064">
        <f t="shared" si="88"/>
        <v>31</v>
      </c>
      <c r="AT465" s="1064">
        <f>AS465*('Ввод исходных данных'!$D$83-AQ465)</f>
        <v>1004.4</v>
      </c>
      <c r="AU465" s="1070">
        <v>-8.1999999999999993</v>
      </c>
      <c r="AV465" s="1070"/>
      <c r="AW465" s="1070">
        <f t="shared" si="89"/>
        <v>30</v>
      </c>
      <c r="AX465" s="1070">
        <f>AW465*('Ввод исходных данных'!$D$83-AU465)</f>
        <v>786</v>
      </c>
      <c r="AY465" s="1071">
        <v>0</v>
      </c>
      <c r="AZ465" s="1071"/>
      <c r="BA465" s="1071">
        <f t="shared" si="90"/>
        <v>31</v>
      </c>
      <c r="BB465" s="1071">
        <f>BA465*('Ввод исходных данных'!$D$83-AY465)</f>
        <v>558</v>
      </c>
      <c r="BC465" s="1072">
        <v>9.9</v>
      </c>
      <c r="BD465" s="1072"/>
      <c r="BE465" s="1072">
        <f t="shared" si="82"/>
        <v>2.5</v>
      </c>
      <c r="BF465" s="1073">
        <f>BE465*('Ввод исходных данных'!$D$83-BC465)</f>
        <v>20.25</v>
      </c>
    </row>
    <row r="466" spans="2:58" ht="15.75" customHeight="1" x14ac:dyDescent="0.25">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8407.5</v>
      </c>
      <c r="J466" s="1059" t="str">
        <f t="shared" si="81"/>
        <v>8000-9000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41.400000000000006</v>
      </c>
      <c r="S466" s="1064">
        <v>5.3</v>
      </c>
      <c r="T466" s="1064"/>
      <c r="U466" s="1064">
        <f t="shared" si="85"/>
        <v>30</v>
      </c>
      <c r="V466" s="1064">
        <f>U466*('Ввод исходных данных'!$D$83-S466)</f>
        <v>381</v>
      </c>
      <c r="W466" s="1065">
        <v>-4.0999999999999996</v>
      </c>
      <c r="X466" s="1065"/>
      <c r="Y466" s="1065">
        <f t="shared" si="86"/>
        <v>31</v>
      </c>
      <c r="Z466" s="1065">
        <f>Y466*('Ввод исходных данных'!$D$83-W466)</f>
        <v>685.1</v>
      </c>
      <c r="AA466" s="1066">
        <v>-15.2</v>
      </c>
      <c r="AB466" s="1066"/>
      <c r="AC466" s="1066">
        <f t="shared" si="87"/>
        <v>30</v>
      </c>
      <c r="AD466" s="1066">
        <f>AC466*('Ввод исходных данных'!$D$83-AA466)</f>
        <v>996.00000000000011</v>
      </c>
      <c r="AE466" s="1067">
        <v>-20.6</v>
      </c>
      <c r="AF466" s="1067"/>
      <c r="AG466" s="1067">
        <v>31</v>
      </c>
      <c r="AH466" s="1067">
        <f>AG466*('Ввод исходных данных'!$D$83-AE466)</f>
        <v>1196.6000000000001</v>
      </c>
      <c r="AI466" s="1068">
        <v>-24.2</v>
      </c>
      <c r="AJ466" s="1068"/>
      <c r="AK466" s="1068">
        <v>31</v>
      </c>
      <c r="AL466" s="1068">
        <f>AK466*('Ввод исходных данных'!$D$83-AI466)</f>
        <v>1308.2</v>
      </c>
      <c r="AM466" s="1069">
        <v>-23.5</v>
      </c>
      <c r="AN466" s="1069"/>
      <c r="AO466" s="1069">
        <v>28</v>
      </c>
      <c r="AP466" s="1069">
        <f>AO466*('Ввод исходных данных'!$D$83-AM466)</f>
        <v>1162</v>
      </c>
      <c r="AQ466" s="1064">
        <v>-15.4</v>
      </c>
      <c r="AR466" s="1064"/>
      <c r="AS466" s="1064">
        <f t="shared" si="88"/>
        <v>31</v>
      </c>
      <c r="AT466" s="1064">
        <f>AS466*('Ввод исходных данных'!$D$83-AQ466)</f>
        <v>1035.3999999999999</v>
      </c>
      <c r="AU466" s="1070">
        <v>-9.1999999999999993</v>
      </c>
      <c r="AV466" s="1070"/>
      <c r="AW466" s="1070">
        <f t="shared" si="89"/>
        <v>30</v>
      </c>
      <c r="AX466" s="1070">
        <f>AW466*('Ввод исходных данных'!$D$83-AU466)</f>
        <v>816</v>
      </c>
      <c r="AY466" s="1071">
        <v>-1.1000000000000001</v>
      </c>
      <c r="AZ466" s="1071"/>
      <c r="BA466" s="1071">
        <f t="shared" si="90"/>
        <v>31</v>
      </c>
      <c r="BB466" s="1071">
        <f>BA466*('Ввод исходных данных'!$D$83-AY466)</f>
        <v>592.1</v>
      </c>
      <c r="BC466" s="1072">
        <v>8.6</v>
      </c>
      <c r="BD466" s="1072"/>
      <c r="BE466" s="1072">
        <f t="shared" si="82"/>
        <v>6</v>
      </c>
      <c r="BF466" s="1073">
        <f>BE466*('Ввод исходных данных'!$D$83-BC466)</f>
        <v>56.400000000000006</v>
      </c>
    </row>
    <row r="467" spans="2:58" ht="15.75" customHeight="1" x14ac:dyDescent="0.25">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8384.4</v>
      </c>
      <c r="J467" s="1059" t="str">
        <f t="shared" si="81"/>
        <v>8000-9000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2.75</v>
      </c>
      <c r="S467" s="1064">
        <v>5.7</v>
      </c>
      <c r="T467" s="1064"/>
      <c r="U467" s="1064">
        <f t="shared" si="85"/>
        <v>30</v>
      </c>
      <c r="V467" s="1064">
        <f>U467*('Ввод исходных данных'!$D$83-S467)</f>
        <v>369</v>
      </c>
      <c r="W467" s="1065">
        <v>-4.7</v>
      </c>
      <c r="X467" s="1065"/>
      <c r="Y467" s="1065">
        <f t="shared" si="86"/>
        <v>31</v>
      </c>
      <c r="Z467" s="1065">
        <f>Y467*('Ввод исходных данных'!$D$83-W467)</f>
        <v>703.69999999999993</v>
      </c>
      <c r="AA467" s="1066">
        <v>-16.100000000000001</v>
      </c>
      <c r="AB467" s="1066"/>
      <c r="AC467" s="1066">
        <f t="shared" si="87"/>
        <v>30</v>
      </c>
      <c r="AD467" s="1066">
        <f>AC467*('Ввод исходных данных'!$D$83-AA467)</f>
        <v>1023</v>
      </c>
      <c r="AE467" s="1067">
        <v>-22.2</v>
      </c>
      <c r="AF467" s="1067"/>
      <c r="AG467" s="1067">
        <v>31</v>
      </c>
      <c r="AH467" s="1067">
        <f>AG467*('Ввод исходных данных'!$D$83-AE467)</f>
        <v>1246.2</v>
      </c>
      <c r="AI467" s="1068">
        <v>-25.2</v>
      </c>
      <c r="AJ467" s="1068"/>
      <c r="AK467" s="1068">
        <v>31</v>
      </c>
      <c r="AL467" s="1068">
        <f>AK467*('Ввод исходных данных'!$D$83-AI467)</f>
        <v>1339.2</v>
      </c>
      <c r="AM467" s="1069">
        <v>-24.3</v>
      </c>
      <c r="AN467" s="1069"/>
      <c r="AO467" s="1069">
        <v>28</v>
      </c>
      <c r="AP467" s="1069">
        <f>AO467*('Ввод исходных данных'!$D$83-AM467)</f>
        <v>1184.3999999999999</v>
      </c>
      <c r="AQ467" s="1064">
        <v>-15.3</v>
      </c>
      <c r="AR467" s="1064"/>
      <c r="AS467" s="1064">
        <f t="shared" si="88"/>
        <v>31</v>
      </c>
      <c r="AT467" s="1064">
        <f>AS467*('Ввод исходных данных'!$D$83-AQ467)</f>
        <v>1032.3</v>
      </c>
      <c r="AU467" s="1070">
        <v>-8.6</v>
      </c>
      <c r="AV467" s="1070"/>
      <c r="AW467" s="1070">
        <f t="shared" si="89"/>
        <v>30</v>
      </c>
      <c r="AX467" s="1070">
        <f>AW467*('Ввод исходных данных'!$D$83-AU467)</f>
        <v>798</v>
      </c>
      <c r="AY467" s="1071">
        <v>-0.3</v>
      </c>
      <c r="AZ467" s="1071"/>
      <c r="BA467" s="1071">
        <f t="shared" si="90"/>
        <v>31</v>
      </c>
      <c r="BB467" s="1071">
        <f>BA467*('Ввод исходных данных'!$D$83-AY467)</f>
        <v>567.30000000000007</v>
      </c>
      <c r="BC467" s="1072">
        <v>10.7</v>
      </c>
      <c r="BD467" s="1072"/>
      <c r="BE467" s="1072">
        <f t="shared" si="82"/>
        <v>0.5</v>
      </c>
      <c r="BF467" s="1073">
        <f>BE467*('Ввод исходных данных'!$D$83-BC467)</f>
        <v>3.6500000000000004</v>
      </c>
    </row>
    <row r="468" spans="2:58" ht="15.75" customHeight="1" x14ac:dyDescent="0.25">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8894.6</v>
      </c>
      <c r="J468" s="1059" t="str">
        <f t="shared" si="81"/>
        <v>8000-9000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43.55</v>
      </c>
      <c r="S468" s="1064">
        <v>5.2</v>
      </c>
      <c r="T468" s="1064"/>
      <c r="U468" s="1064">
        <f t="shared" si="85"/>
        <v>30</v>
      </c>
      <c r="V468" s="1064">
        <f>U468*('Ввод исходных данных'!$D$83-S468)</f>
        <v>384</v>
      </c>
      <c r="W468" s="1065">
        <v>-6.3</v>
      </c>
      <c r="X468" s="1065"/>
      <c r="Y468" s="1065">
        <f t="shared" si="86"/>
        <v>31</v>
      </c>
      <c r="Z468" s="1065">
        <f>Y468*('Ввод исходных данных'!$D$83-W468)</f>
        <v>753.30000000000007</v>
      </c>
      <c r="AA468" s="1066">
        <v>-18.2</v>
      </c>
      <c r="AB468" s="1066"/>
      <c r="AC468" s="1066">
        <f t="shared" si="87"/>
        <v>30</v>
      </c>
      <c r="AD468" s="1066">
        <f>AC468*('Ввод исходных данных'!$D$83-AA468)</f>
        <v>1086</v>
      </c>
      <c r="AE468" s="1067">
        <v>-24</v>
      </c>
      <c r="AF468" s="1067"/>
      <c r="AG468" s="1067">
        <v>31</v>
      </c>
      <c r="AH468" s="1067">
        <f>AG468*('Ввод исходных данных'!$D$83-AE468)</f>
        <v>1302</v>
      </c>
      <c r="AI468" s="1068">
        <v>-26.4</v>
      </c>
      <c r="AJ468" s="1068"/>
      <c r="AK468" s="1068">
        <v>31</v>
      </c>
      <c r="AL468" s="1068">
        <f>AK468*('Ввод исходных данных'!$D$83-AI468)</f>
        <v>1376.3999999999999</v>
      </c>
      <c r="AM468" s="1069">
        <v>-26.4</v>
      </c>
      <c r="AN468" s="1069"/>
      <c r="AO468" s="1069">
        <v>28</v>
      </c>
      <c r="AP468" s="1069">
        <f>AO468*('Ввод исходных данных'!$D$83-AM468)</f>
        <v>1243.2</v>
      </c>
      <c r="AQ468" s="1064">
        <v>-19.2</v>
      </c>
      <c r="AR468" s="1064"/>
      <c r="AS468" s="1064">
        <f t="shared" si="88"/>
        <v>31</v>
      </c>
      <c r="AT468" s="1064">
        <f>AS468*('Ввод исходных данных'!$D$83-AQ468)</f>
        <v>1153.2</v>
      </c>
      <c r="AU468" s="1070">
        <v>-10.3</v>
      </c>
      <c r="AV468" s="1070"/>
      <c r="AW468" s="1070">
        <f t="shared" si="89"/>
        <v>30</v>
      </c>
      <c r="AX468" s="1070">
        <f>AW468*('Ввод исходных данных'!$D$83-AU468)</f>
        <v>849</v>
      </c>
      <c r="AY468" s="1071">
        <v>-2.6</v>
      </c>
      <c r="AZ468" s="1071"/>
      <c r="BA468" s="1071">
        <f t="shared" si="90"/>
        <v>31</v>
      </c>
      <c r="BB468" s="1071">
        <f>BA468*('Ввод исходных данных'!$D$83-AY468)</f>
        <v>638.6</v>
      </c>
      <c r="BC468" s="1072">
        <v>8.4</v>
      </c>
      <c r="BD468" s="1072"/>
      <c r="BE468" s="1072">
        <f t="shared" si="82"/>
        <v>6.5</v>
      </c>
      <c r="BF468" s="1073">
        <f>BE468*('Ввод исходных данных'!$D$83-BC468)</f>
        <v>62.4</v>
      </c>
    </row>
    <row r="469" spans="2:58" ht="15.75" customHeight="1" x14ac:dyDescent="0.25">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4862</v>
      </c>
      <c r="J469" s="1059" t="str">
        <f t="shared" si="81"/>
        <v>4000-5000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36</v>
      </c>
      <c r="W469" s="1065">
        <v>3.4</v>
      </c>
      <c r="X469" s="1065"/>
      <c r="Y469" s="1065">
        <f t="shared" si="86"/>
        <v>31</v>
      </c>
      <c r="Z469" s="1065">
        <f>Y469*('Ввод исходных данных'!$D$83-W469)</f>
        <v>452.59999999999997</v>
      </c>
      <c r="AA469" s="1066">
        <v>-2.7</v>
      </c>
      <c r="AB469" s="1066"/>
      <c r="AC469" s="1066">
        <f t="shared" si="87"/>
        <v>30</v>
      </c>
      <c r="AD469" s="1066">
        <f>AC469*('Ввод исходных данных'!$D$83-AA469)</f>
        <v>621</v>
      </c>
      <c r="AE469" s="1067">
        <v>-8.1</v>
      </c>
      <c r="AF469" s="1067"/>
      <c r="AG469" s="1067">
        <v>31</v>
      </c>
      <c r="AH469" s="1067">
        <f>AG469*('Ввод исходных данных'!$D$83-AE469)</f>
        <v>809.1</v>
      </c>
      <c r="AI469" s="1068">
        <v>-11.9</v>
      </c>
      <c r="AJ469" s="1068"/>
      <c r="AK469" s="1068">
        <v>31</v>
      </c>
      <c r="AL469" s="1068">
        <f>AK469*('Ввод исходных данных'!$D$83-AI469)</f>
        <v>926.9</v>
      </c>
      <c r="AM469" s="1069">
        <v>-10.7</v>
      </c>
      <c r="AN469" s="1069"/>
      <c r="AO469" s="1069">
        <v>28</v>
      </c>
      <c r="AP469" s="1069">
        <f>AO469*('Ввод исходных данных'!$D$83-AM469)</f>
        <v>803.6</v>
      </c>
      <c r="AQ469" s="1064">
        <v>-5.0999999999999996</v>
      </c>
      <c r="AR469" s="1064"/>
      <c r="AS469" s="1064">
        <f t="shared" si="88"/>
        <v>31</v>
      </c>
      <c r="AT469" s="1064">
        <f>AS469*('Ввод исходных данных'!$D$83-AQ469)</f>
        <v>716.1</v>
      </c>
      <c r="AU469" s="1070">
        <v>3.7</v>
      </c>
      <c r="AV469" s="1070"/>
      <c r="AW469" s="1070">
        <f t="shared" si="89"/>
        <v>30</v>
      </c>
      <c r="AX469" s="1070">
        <f>AW469*('Ввод исходных данных'!$D$83-AU469)</f>
        <v>429</v>
      </c>
      <c r="AY469" s="1071">
        <v>10.9</v>
      </c>
      <c r="AZ469" s="1071"/>
      <c r="BA469" s="1071">
        <f t="shared" si="90"/>
        <v>4.5</v>
      </c>
      <c r="BB469" s="1071">
        <f>BA469*('Ввод исходных данных'!$D$83-AY469)</f>
        <v>31.95</v>
      </c>
      <c r="BC469" s="1072">
        <v>15.7</v>
      </c>
      <c r="BD469" s="1072"/>
      <c r="BE469" s="1072">
        <f t="shared" si="82"/>
        <v>0</v>
      </c>
      <c r="BF469" s="1073">
        <f>BE469*('Ввод исходных данных'!$D$83-BC469)</f>
        <v>0</v>
      </c>
    </row>
    <row r="470" spans="2:58" ht="15.75" customHeight="1" x14ac:dyDescent="0.25">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3615.7000000000003</v>
      </c>
      <c r="J470" s="1059" t="str">
        <f t="shared" si="81"/>
        <v>3000-4000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333.5</v>
      </c>
      <c r="AA470" s="1066">
        <v>2.6</v>
      </c>
      <c r="AB470" s="1066"/>
      <c r="AC470" s="1066">
        <f t="shared" si="87"/>
        <v>30</v>
      </c>
      <c r="AD470" s="1066">
        <f>AC470*('Ввод исходных данных'!$D$83-AA470)</f>
        <v>462</v>
      </c>
      <c r="AE470" s="1067">
        <v>-1.5</v>
      </c>
      <c r="AF470" s="1067"/>
      <c r="AG470" s="1067">
        <v>31</v>
      </c>
      <c r="AH470" s="1067">
        <f>AG470*('Ввод исходных данных'!$D$83-AE470)</f>
        <v>604.5</v>
      </c>
      <c r="AI470" s="1068">
        <v>-3.6</v>
      </c>
      <c r="AJ470" s="1068"/>
      <c r="AK470" s="1068">
        <v>31</v>
      </c>
      <c r="AL470" s="1068">
        <f>AK470*('Ввод исходных данных'!$D$83-AI470)</f>
        <v>669.6</v>
      </c>
      <c r="AM470" s="1069">
        <v>-3.1</v>
      </c>
      <c r="AN470" s="1069"/>
      <c r="AO470" s="1069">
        <v>28</v>
      </c>
      <c r="AP470" s="1069">
        <f>AO470*('Ввод исходных данных'!$D$83-AM470)</f>
        <v>590.80000000000007</v>
      </c>
      <c r="AQ470" s="1064">
        <v>-0.6</v>
      </c>
      <c r="AR470" s="1064"/>
      <c r="AS470" s="1064">
        <f t="shared" si="88"/>
        <v>31</v>
      </c>
      <c r="AT470" s="1064">
        <f>AS470*('Ввод исходных данных'!$D$83-AQ470)</f>
        <v>576.6</v>
      </c>
      <c r="AU470" s="1070">
        <v>4.9000000000000004</v>
      </c>
      <c r="AV470" s="1070"/>
      <c r="AW470" s="1070">
        <f t="shared" si="89"/>
        <v>29</v>
      </c>
      <c r="AX470" s="1070">
        <f>AW470*('Ввод исходных данных'!$D$83-AU470)</f>
        <v>379.9</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25">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2496</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19</v>
      </c>
      <c r="AA471" s="1066">
        <v>5.9</v>
      </c>
      <c r="AB471" s="1066"/>
      <c r="AC471" s="1066">
        <f t="shared" si="87"/>
        <v>30</v>
      </c>
      <c r="AD471" s="1066">
        <f>AC471*('Ввод исходных данных'!$D$83-AA471)</f>
        <v>363</v>
      </c>
      <c r="AE471" s="1067">
        <v>1.9</v>
      </c>
      <c r="AF471" s="1067"/>
      <c r="AG471" s="1067">
        <v>31</v>
      </c>
      <c r="AH471" s="1067">
        <f>AG471*('Ввод исходных данных'!$D$83-AE471)</f>
        <v>499.1</v>
      </c>
      <c r="AI471" s="1068">
        <v>-1.5</v>
      </c>
      <c r="AJ471" s="1068"/>
      <c r="AK471" s="1068">
        <v>31</v>
      </c>
      <c r="AL471" s="1068">
        <f>AK471*('Ввод исходных данных'!$D$83-AI471)</f>
        <v>604.5</v>
      </c>
      <c r="AM471" s="1069">
        <v>-0.5</v>
      </c>
      <c r="AN471" s="1069"/>
      <c r="AO471" s="1069">
        <v>28</v>
      </c>
      <c r="AP471" s="1069">
        <f>AO471*('Ввод исходных данных'!$D$83-AM471)</f>
        <v>518</v>
      </c>
      <c r="AQ471" s="1064">
        <v>3.1</v>
      </c>
      <c r="AR471" s="1064"/>
      <c r="AS471" s="1064">
        <f t="shared" si="88"/>
        <v>31</v>
      </c>
      <c r="AT471" s="1064">
        <f>AS471*('Ввод исходных данных'!$D$83-AQ471)</f>
        <v>461.90000000000003</v>
      </c>
      <c r="AU471" s="1070">
        <v>10.4</v>
      </c>
      <c r="AV471" s="1070"/>
      <c r="AW471" s="1070">
        <f t="shared" si="89"/>
        <v>2.5</v>
      </c>
      <c r="AX471" s="1070">
        <f>AW471*('Ввод исходных данных'!$D$83-AU471)</f>
        <v>19</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25">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2356.2000000000003</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7.3000000000000007</v>
      </c>
      <c r="AA472" s="1066">
        <v>6.3</v>
      </c>
      <c r="AB472" s="1066"/>
      <c r="AC472" s="1066">
        <f t="shared" si="87"/>
        <v>30</v>
      </c>
      <c r="AD472" s="1066">
        <f>AC472*('Ввод исходных данных'!$D$83-AA472)</f>
        <v>351</v>
      </c>
      <c r="AE472" s="1067">
        <v>2.4</v>
      </c>
      <c r="AF472" s="1067"/>
      <c r="AG472" s="1067">
        <v>31</v>
      </c>
      <c r="AH472" s="1067">
        <f>AG472*('Ввод исходных данных'!$D$83-AE472)</f>
        <v>483.59999999999997</v>
      </c>
      <c r="AI472" s="1068">
        <v>-0.5</v>
      </c>
      <c r="AJ472" s="1068"/>
      <c r="AK472" s="1068">
        <v>31</v>
      </c>
      <c r="AL472" s="1068">
        <f>AK472*('Ввод исходных данных'!$D$83-AI472)</f>
        <v>573.5</v>
      </c>
      <c r="AM472" s="1069">
        <v>0.4</v>
      </c>
      <c r="AN472" s="1069"/>
      <c r="AO472" s="1069">
        <v>28</v>
      </c>
      <c r="AP472" s="1069">
        <f>AO472*('Ввод исходных данных'!$D$83-AM472)</f>
        <v>492.80000000000007</v>
      </c>
      <c r="AQ472" s="1064">
        <v>3.6</v>
      </c>
      <c r="AR472" s="1064"/>
      <c r="AS472" s="1064">
        <f t="shared" si="88"/>
        <v>31</v>
      </c>
      <c r="AT472" s="1064">
        <f>AS472*('Ввод исходных данных'!$D$83-AQ472)</f>
        <v>446.40000000000003</v>
      </c>
      <c r="AU472" s="1070">
        <v>10.199999999999999</v>
      </c>
      <c r="AV472" s="1070"/>
      <c r="AW472" s="1070">
        <f t="shared" si="89"/>
        <v>1</v>
      </c>
      <c r="AX472" s="1070">
        <f>AW472*('Ввод исходных данных'!$D$83-AU472)</f>
        <v>7.8000000000000007</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25">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2044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254.99999999999997</v>
      </c>
      <c r="AE473" s="1067">
        <v>4.0999999999999996</v>
      </c>
      <c r="AF473" s="1067"/>
      <c r="AG473" s="1067">
        <v>31</v>
      </c>
      <c r="AH473" s="1067">
        <f>AG473*('Ввод исходных данных'!$D$83-AE473)</f>
        <v>430.90000000000003</v>
      </c>
      <c r="AI473" s="1068">
        <v>0.8</v>
      </c>
      <c r="AJ473" s="1068"/>
      <c r="AK473" s="1068">
        <v>31</v>
      </c>
      <c r="AL473" s="1068">
        <f>AK473*('Ввод исходных данных'!$D$83-AI473)</f>
        <v>533.19999999999993</v>
      </c>
      <c r="AM473" s="1069">
        <v>1.4</v>
      </c>
      <c r="AN473" s="1069"/>
      <c r="AO473" s="1069">
        <v>28</v>
      </c>
      <c r="AP473" s="1069">
        <f>AO473*('Ввод исходных данных'!$D$83-AM473)</f>
        <v>464.80000000000007</v>
      </c>
      <c r="AQ473" s="1064">
        <v>4.4000000000000004</v>
      </c>
      <c r="AR473" s="1064"/>
      <c r="AS473" s="1064">
        <f t="shared" si="88"/>
        <v>25</v>
      </c>
      <c r="AT473" s="1064">
        <f>AS473*('Ввод исходных данных'!$D$83-AQ473)</f>
        <v>340</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25">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1535.1000000000001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123.25</v>
      </c>
      <c r="AE474" s="1067">
        <v>6.3</v>
      </c>
      <c r="AF474" s="1067"/>
      <c r="AG474" s="1067">
        <v>31</v>
      </c>
      <c r="AH474" s="1067">
        <f>AG474*('Ввод исходных данных'!$D$83-AE474)</f>
        <v>362.7</v>
      </c>
      <c r="AI474" s="1068">
        <v>3.9</v>
      </c>
      <c r="AJ474" s="1068"/>
      <c r="AK474" s="1068">
        <v>31</v>
      </c>
      <c r="AL474" s="1068">
        <f>AK474*('Ввод исходных данных'!$D$83-AI474)</f>
        <v>437.09999999999997</v>
      </c>
      <c r="AM474" s="1069">
        <v>4.2</v>
      </c>
      <c r="AN474" s="1069"/>
      <c r="AO474" s="1069">
        <v>28</v>
      </c>
      <c r="AP474" s="1069">
        <f>AO474*('Ввод исходных данных'!$D$83-AM474)</f>
        <v>386.40000000000003</v>
      </c>
      <c r="AQ474" s="1064">
        <v>6</v>
      </c>
      <c r="AR474" s="1064"/>
      <c r="AS474" s="1064">
        <f t="shared" si="88"/>
        <v>14.5</v>
      </c>
      <c r="AT474" s="1064">
        <f>AS474*('Ввод исходных данных'!$D$83-AQ474)</f>
        <v>174</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25">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2356.2000000000003</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7.3000000000000007</v>
      </c>
      <c r="AA475" s="1066">
        <f>AA472</f>
        <v>6.3</v>
      </c>
      <c r="AB475" s="1066"/>
      <c r="AC475" s="1066">
        <f t="shared" si="87"/>
        <v>30</v>
      </c>
      <c r="AD475" s="1066">
        <f>AC475*('Ввод исходных данных'!$D$83-AA475)</f>
        <v>351</v>
      </c>
      <c r="AE475" s="1067">
        <f>AE472</f>
        <v>2.4</v>
      </c>
      <c r="AF475" s="1067"/>
      <c r="AG475" s="1067">
        <v>31</v>
      </c>
      <c r="AH475" s="1067">
        <f>AG475*('Ввод исходных данных'!$D$83-AE475)</f>
        <v>483.59999999999997</v>
      </c>
      <c r="AI475" s="1068">
        <f>AI472</f>
        <v>-0.5</v>
      </c>
      <c r="AJ475" s="1068"/>
      <c r="AK475" s="1068">
        <v>31</v>
      </c>
      <c r="AL475" s="1068">
        <f>AK475*('Ввод исходных данных'!$D$83-AI475)</f>
        <v>573.5</v>
      </c>
      <c r="AM475" s="1069">
        <f>AM472</f>
        <v>0.4</v>
      </c>
      <c r="AN475" s="1069"/>
      <c r="AO475" s="1069">
        <v>28</v>
      </c>
      <c r="AP475" s="1069">
        <f>AO475*('Ввод исходных данных'!$D$83-AM475)</f>
        <v>492.80000000000007</v>
      </c>
      <c r="AQ475" s="1064">
        <f>AQ472</f>
        <v>3.6</v>
      </c>
      <c r="AR475" s="1064"/>
      <c r="AS475" s="1064">
        <f t="shared" si="88"/>
        <v>31</v>
      </c>
      <c r="AT475" s="1064">
        <f>AS475*('Ввод исходных данных'!$D$83-AQ475)</f>
        <v>446.40000000000003</v>
      </c>
      <c r="AU475" s="1070">
        <f>AU472</f>
        <v>10.199999999999999</v>
      </c>
      <c r="AV475" s="1070"/>
      <c r="AW475" s="1070">
        <f t="shared" si="89"/>
        <v>1</v>
      </c>
      <c r="AX475" s="1070">
        <f>AW475*('Ввод исходных данных'!$D$83-AU475)</f>
        <v>7.8000000000000007</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25">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-810</v>
      </c>
      <c r="AE476" s="1067"/>
      <c r="AF476" s="1067"/>
      <c r="AG476" s="1067">
        <v>31</v>
      </c>
      <c r="AH476" s="1067">
        <f>AG476*('Ввод исходных данных'!$D$83-AE476)</f>
        <v>558</v>
      </c>
      <c r="AI476" s="1068"/>
      <c r="AJ476" s="1068"/>
      <c r="AK476" s="1068">
        <v>31</v>
      </c>
      <c r="AL476" s="1068">
        <f>AK476*('Ввод исходных данных'!$D$83-AI476)</f>
        <v>558</v>
      </c>
      <c r="AM476" s="1069"/>
      <c r="AN476" s="1069"/>
      <c r="AO476" s="1069">
        <v>28</v>
      </c>
      <c r="AP476" s="1069">
        <f>AO476*('Ввод исходных данных'!$D$83-AM476)</f>
        <v>504</v>
      </c>
      <c r="AQ476" s="1064"/>
      <c r="AR476" s="1064"/>
      <c r="AS476" s="1064">
        <f t="shared" si="88"/>
        <v>-45</v>
      </c>
      <c r="AT476" s="1064">
        <f>AS476*('Ввод исходных данных'!$D$83-AQ476)</f>
        <v>-810</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25">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25">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25">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25">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25">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25">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25">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25">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25">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25">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25">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25">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25">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25">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25">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25">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25">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25">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25">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25">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25">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25">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25">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25">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25">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25">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25">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25">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25">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25">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25">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25">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25">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25">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25">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25">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25">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25">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25">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25">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25">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25">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25">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25">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25">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25">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25">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25">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25">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25">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25">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25">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25">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25">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25">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25">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25">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25">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25">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25">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25">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25">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25">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25">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25">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25">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25">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25">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25">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25">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25">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25">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25">
      <c r="C549" s="1090"/>
      <c r="D549" s="1090"/>
      <c r="E549" s="1090"/>
      <c r="F549" s="1090"/>
      <c r="G549" s="1090"/>
      <c r="H549" s="1090"/>
    </row>
    <row r="551" spans="2:58" ht="15.75" customHeight="1" x14ac:dyDescent="0.25">
      <c r="D551" s="1023"/>
    </row>
    <row r="596" spans="2:2" ht="15.75" customHeight="1" x14ac:dyDescent="0.25">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40625" defaultRowHeight="15" x14ac:dyDescent="0.25"/>
  <cols>
    <col min="1" max="1" width="43.7109375" style="75" customWidth="1"/>
    <col min="2" max="2" width="22.5703125" style="75" customWidth="1"/>
    <col min="3" max="3" width="27.28515625" style="75" customWidth="1"/>
    <col min="4" max="4" width="9.140625" style="75" customWidth="1"/>
    <col min="5" max="5" width="7.5703125" style="75" customWidth="1"/>
    <col min="6" max="6" width="4.140625" style="75" customWidth="1"/>
    <col min="7" max="8" width="7.5703125" style="75" customWidth="1"/>
    <col min="9" max="9" width="9.140625" style="75"/>
    <col min="10" max="10" width="11" style="75" customWidth="1"/>
    <col min="11" max="16" width="9.140625" style="75"/>
    <col min="17" max="17" width="17.28515625" style="75" customWidth="1"/>
    <col min="18" max="18" width="9.140625" style="75"/>
    <col min="19" max="19" width="9.5703125" style="75" bestFit="1" customWidth="1"/>
    <col min="20" max="20" width="9.140625" style="75"/>
    <col min="21" max="21" width="7.28515625" style="75" customWidth="1"/>
    <col min="22" max="27" width="9.140625" style="75"/>
    <col min="28" max="28" width="8.85546875" style="75" customWidth="1"/>
    <col min="29" max="34" width="9.140625" style="75"/>
    <col min="35" max="35" width="11.5703125" style="75" bestFit="1" customWidth="1"/>
    <col min="36" max="41" width="9.140625" style="75"/>
    <col min="42" max="42" width="7" style="75" customWidth="1"/>
    <col min="43" max="48" width="9.140625" style="75"/>
    <col min="49" max="49" width="8" style="75" customWidth="1"/>
    <col min="50" max="16384" width="9.140625" style="75"/>
  </cols>
  <sheetData>
    <row r="1" spans="1:59" ht="62.25" customHeight="1" x14ac:dyDescent="0.45">
      <c r="A1" s="1763" t="s">
        <v>1240</v>
      </c>
      <c r="B1" s="1763"/>
      <c r="C1" s="1763"/>
      <c r="D1" s="1763"/>
      <c r="E1" s="1763"/>
      <c r="F1" s="1763"/>
      <c r="G1" s="1763"/>
      <c r="H1" s="1763"/>
      <c r="I1" s="1763"/>
      <c r="J1" s="1763"/>
      <c r="K1" s="1763"/>
      <c r="L1" s="1763"/>
      <c r="M1" s="1763"/>
      <c r="N1" s="1763"/>
      <c r="O1" s="1763"/>
      <c r="P1" s="1763"/>
      <c r="Q1" s="1763"/>
      <c r="R1" s="1763"/>
      <c r="S1" s="1763"/>
      <c r="T1" s="1763"/>
      <c r="U1" s="1763"/>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75" thickBot="1" x14ac:dyDescent="0.3">
      <c r="A2" s="1092"/>
      <c r="B2" s="95" t="s">
        <v>1538</v>
      </c>
      <c r="C2" s="1093">
        <f>'Ввод исходных данных'!$D$83-'Расчет базового уровня'!$D$145</f>
        <v>55</v>
      </c>
      <c r="D2" s="74"/>
      <c r="E2" s="74"/>
      <c r="F2" s="74"/>
      <c r="G2" s="74"/>
      <c r="H2" s="74"/>
      <c r="I2" s="74"/>
      <c r="J2" s="74"/>
      <c r="K2" s="74"/>
      <c r="L2" s="74"/>
      <c r="M2" s="74"/>
      <c r="N2" s="74"/>
      <c r="O2" s="74"/>
      <c r="P2" s="74"/>
      <c r="Q2" s="74"/>
      <c r="R2" s="74"/>
      <c r="S2" s="74"/>
      <c r="T2" s="74"/>
      <c r="U2" s="74"/>
      <c r="V2" s="74"/>
    </row>
    <row r="3" spans="1:59" ht="37.5" customHeight="1" x14ac:dyDescent="0.25">
      <c r="A3" s="1850" t="s">
        <v>757</v>
      </c>
      <c r="B3" s="1852" t="s">
        <v>1380</v>
      </c>
      <c r="C3" s="1854" t="s">
        <v>1370</v>
      </c>
      <c r="D3" s="1855"/>
      <c r="E3" s="1855"/>
      <c r="F3" s="1855"/>
      <c r="G3" s="1855"/>
      <c r="H3" s="1856"/>
      <c r="I3" s="1857" t="s">
        <v>1371</v>
      </c>
      <c r="J3" s="1857"/>
      <c r="K3" s="1858"/>
      <c r="L3" s="74"/>
      <c r="M3" s="74"/>
      <c r="N3" s="74"/>
      <c r="O3" s="74"/>
      <c r="P3" s="74"/>
      <c r="Q3" s="74"/>
      <c r="R3" s="74"/>
      <c r="S3" s="74"/>
      <c r="T3" s="74"/>
      <c r="U3" s="74"/>
      <c r="V3" s="74"/>
    </row>
    <row r="4" spans="1:59" ht="45.95" customHeight="1" x14ac:dyDescent="0.25">
      <c r="A4" s="1851"/>
      <c r="B4" s="1853"/>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25">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1.053639846743295</v>
      </c>
      <c r="K5" s="1104">
        <f>MAX(I5:J5)</f>
        <v>1.053639846743295</v>
      </c>
      <c r="L5" s="74"/>
      <c r="M5" s="74"/>
      <c r="N5" s="74"/>
      <c r="O5" s="74"/>
      <c r="P5" s="74"/>
      <c r="Q5" s="74"/>
      <c r="R5" s="74"/>
      <c r="S5" s="74"/>
      <c r="T5" s="74"/>
      <c r="U5" s="74"/>
      <c r="V5" s="74"/>
      <c r="W5" s="1105"/>
    </row>
    <row r="6" spans="1:59" s="1106" customFormat="1" ht="17.100000000000001" customHeight="1" x14ac:dyDescent="0.25">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1.053639846743295</v>
      </c>
      <c r="K6" s="1104">
        <f t="shared" ref="K6:K33" si="1">MAX(I6:J6)</f>
        <v>1.053639846743295</v>
      </c>
      <c r="L6" s="74"/>
      <c r="M6" s="74"/>
      <c r="N6" s="74"/>
      <c r="O6" s="74"/>
      <c r="P6" s="74"/>
      <c r="Q6" s="74"/>
      <c r="R6" s="74"/>
      <c r="S6" s="74"/>
      <c r="T6" s="74"/>
      <c r="U6" s="74"/>
      <c r="V6" s="74"/>
      <c r="W6" s="1105"/>
    </row>
    <row r="7" spans="1:59" s="1106" customFormat="1" ht="17.100000000000001" customHeight="1" x14ac:dyDescent="0.25">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1.053639846743295</v>
      </c>
      <c r="K7" s="1104">
        <f t="shared" si="1"/>
        <v>1.0622198092130406</v>
      </c>
      <c r="L7" s="74"/>
      <c r="M7" s="74"/>
      <c r="N7" s="74"/>
      <c r="O7" s="74"/>
      <c r="P7" s="74"/>
      <c r="Q7" s="74"/>
      <c r="R7" s="74"/>
      <c r="S7" s="74"/>
      <c r="T7" s="74"/>
      <c r="U7" s="74"/>
      <c r="V7" s="74"/>
      <c r="W7" s="1105"/>
    </row>
    <row r="8" spans="1:59" s="1106" customFormat="1" ht="17.100000000000001" customHeight="1" x14ac:dyDescent="0.25">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1.053639846743295</v>
      </c>
      <c r="K8" s="1104">
        <f t="shared" si="1"/>
        <v>1.053639846743295</v>
      </c>
      <c r="L8" s="74"/>
      <c r="M8" s="74"/>
      <c r="N8" s="74"/>
      <c r="O8" s="74"/>
      <c r="P8" s="74"/>
      <c r="Q8" s="74"/>
      <c r="R8" s="74"/>
      <c r="S8" s="74"/>
      <c r="T8" s="74"/>
      <c r="U8" s="74"/>
      <c r="V8" s="74"/>
      <c r="W8" s="1105"/>
    </row>
    <row r="9" spans="1:59" s="1106" customFormat="1" ht="17.100000000000001" customHeight="1" x14ac:dyDescent="0.25">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1.053639846743295</v>
      </c>
      <c r="K9" s="1104">
        <f t="shared" si="1"/>
        <v>1.053639846743295</v>
      </c>
      <c r="L9" s="74"/>
      <c r="M9" s="74"/>
      <c r="N9" s="74"/>
      <c r="O9" s="74"/>
      <c r="P9" s="74"/>
      <c r="Q9" s="74"/>
      <c r="R9" s="74"/>
      <c r="S9" s="74"/>
      <c r="T9" s="74"/>
      <c r="U9" s="74"/>
      <c r="V9" s="74"/>
      <c r="W9" s="1105"/>
    </row>
    <row r="10" spans="1:59" s="1106" customFormat="1" ht="17.100000000000001" customHeight="1" x14ac:dyDescent="0.25">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1.053639846743295</v>
      </c>
      <c r="K10" s="1104">
        <f t="shared" si="1"/>
        <v>1.053639846743295</v>
      </c>
      <c r="L10" s="74"/>
      <c r="M10" s="74"/>
      <c r="N10" s="74"/>
      <c r="O10" s="74"/>
      <c r="P10" s="74"/>
      <c r="Q10" s="74"/>
      <c r="R10" s="74"/>
      <c r="S10" s="74"/>
      <c r="T10" s="74"/>
      <c r="U10" s="74"/>
      <c r="V10" s="74"/>
      <c r="W10" s="1105"/>
    </row>
    <row r="11" spans="1:59" s="1106" customFormat="1" ht="17.100000000000001" customHeight="1" x14ac:dyDescent="0.25">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1.053639846743295</v>
      </c>
      <c r="K11" s="1104">
        <f t="shared" si="1"/>
        <v>1.053639846743295</v>
      </c>
      <c r="L11" s="74"/>
      <c r="M11" s="74"/>
      <c r="N11" s="74"/>
      <c r="O11" s="74"/>
      <c r="P11" s="74"/>
      <c r="Q11" s="74"/>
      <c r="R11" s="74"/>
      <c r="S11" s="74"/>
      <c r="T11" s="74"/>
      <c r="U11" s="74"/>
      <c r="V11" s="74"/>
      <c r="W11" s="1105"/>
    </row>
    <row r="12" spans="1:59" s="1106" customFormat="1" ht="17.100000000000001" customHeight="1" x14ac:dyDescent="0.25">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1.053639846743295</v>
      </c>
      <c r="K12" s="1104">
        <f t="shared" si="1"/>
        <v>1.053639846743295</v>
      </c>
      <c r="L12" s="74"/>
      <c r="M12" s="74"/>
      <c r="N12" s="74"/>
      <c r="O12" s="74"/>
      <c r="P12" s="74"/>
      <c r="Q12" s="74"/>
      <c r="R12" s="74"/>
      <c r="S12" s="74"/>
      <c r="T12" s="74"/>
      <c r="U12" s="74"/>
      <c r="V12" s="74"/>
      <c r="W12" s="1105"/>
    </row>
    <row r="13" spans="1:59" s="1106" customFormat="1" ht="17.100000000000001" customHeight="1" x14ac:dyDescent="0.25">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1.053639846743295</v>
      </c>
      <c r="K13" s="1104">
        <f t="shared" si="1"/>
        <v>1.053639846743295</v>
      </c>
      <c r="L13" s="74"/>
      <c r="M13" s="74"/>
      <c r="N13" s="74"/>
      <c r="O13" s="74"/>
      <c r="P13" s="74"/>
      <c r="Q13" s="74"/>
      <c r="R13" s="74"/>
      <c r="S13" s="74"/>
      <c r="T13" s="74"/>
      <c r="U13" s="74"/>
      <c r="V13" s="74"/>
      <c r="W13" s="1105"/>
    </row>
    <row r="14" spans="1:59" s="1106" customFormat="1" ht="17.100000000000001" customHeight="1" x14ac:dyDescent="0.25">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1.053639846743295</v>
      </c>
      <c r="K14" s="1104">
        <f t="shared" si="1"/>
        <v>1.053639846743295</v>
      </c>
      <c r="L14" s="74"/>
      <c r="M14" s="74"/>
      <c r="N14" s="74"/>
      <c r="O14" s="74"/>
      <c r="P14" s="74"/>
      <c r="Q14" s="74"/>
      <c r="R14" s="74"/>
      <c r="S14" s="74"/>
      <c r="T14" s="74"/>
      <c r="U14" s="74"/>
      <c r="V14" s="74"/>
      <c r="W14" s="1105"/>
    </row>
    <row r="15" spans="1:59" s="1106" customFormat="1" ht="17.100000000000001" customHeight="1" x14ac:dyDescent="0.25">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1.053639846743295</v>
      </c>
      <c r="K15" s="1104">
        <f t="shared" ref="K15" si="3">MAX(I15:J15)</f>
        <v>1.053639846743295</v>
      </c>
      <c r="L15" s="74"/>
      <c r="M15" s="74"/>
      <c r="N15" s="74"/>
      <c r="O15" s="74"/>
      <c r="P15" s="74"/>
      <c r="Q15" s="74"/>
      <c r="R15" s="74"/>
      <c r="S15" s="74"/>
      <c r="T15" s="74"/>
      <c r="U15" s="74"/>
      <c r="V15" s="74"/>
      <c r="W15" s="1105"/>
    </row>
    <row r="16" spans="1:59" s="1106" customFormat="1" ht="17.100000000000001" customHeight="1" x14ac:dyDescent="0.25">
      <c r="A16" s="977" t="s">
        <v>1943</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1.053639846743295</v>
      </c>
      <c r="K16" s="1104">
        <f t="shared" si="1"/>
        <v>1.053639846743295</v>
      </c>
      <c r="L16" s="74"/>
      <c r="M16" s="74"/>
      <c r="N16" s="74"/>
      <c r="O16" s="74"/>
      <c r="P16" s="74"/>
      <c r="Q16" s="74"/>
      <c r="R16" s="74"/>
      <c r="S16" s="74"/>
      <c r="T16" s="74"/>
      <c r="U16" s="74"/>
      <c r="V16" s="74"/>
      <c r="W16" s="1105"/>
    </row>
    <row r="17" spans="1:23" s="1106" customFormat="1" ht="17.100000000000001" customHeight="1" x14ac:dyDescent="0.25">
      <c r="A17" s="977" t="s">
        <v>1944</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1.053639846743295</v>
      </c>
      <c r="K17" s="1104">
        <f t="shared" si="1"/>
        <v>1.053639846743295</v>
      </c>
      <c r="L17" s="74"/>
      <c r="M17" s="74"/>
      <c r="N17" s="74"/>
      <c r="O17" s="74"/>
      <c r="P17" s="74"/>
      <c r="Q17" s="74"/>
      <c r="R17" s="74"/>
      <c r="S17" s="74"/>
      <c r="T17" s="74"/>
      <c r="U17" s="74"/>
      <c r="V17" s="74"/>
      <c r="W17" s="1105"/>
    </row>
    <row r="18" spans="1:23" s="1106" customFormat="1" ht="17.100000000000001" customHeight="1" x14ac:dyDescent="0.25">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1.053639846743295</v>
      </c>
      <c r="K18" s="1104">
        <f t="shared" ref="K18" si="5">MAX(I18:J18)</f>
        <v>1.053639846743295</v>
      </c>
      <c r="L18" s="74"/>
      <c r="M18" s="74"/>
      <c r="N18" s="74"/>
      <c r="O18" s="74"/>
      <c r="P18" s="74"/>
      <c r="Q18" s="74"/>
      <c r="R18" s="74"/>
      <c r="S18" s="74"/>
      <c r="T18" s="74"/>
      <c r="U18" s="74"/>
      <c r="V18" s="74"/>
      <c r="W18" s="1105"/>
    </row>
    <row r="19" spans="1:23" s="1106" customFormat="1" ht="17.100000000000001" customHeight="1" x14ac:dyDescent="0.25">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1.053639846743295</v>
      </c>
      <c r="K19" s="1104">
        <f t="shared" si="1"/>
        <v>1.053639846743295</v>
      </c>
      <c r="L19" s="74"/>
      <c r="M19" s="74"/>
      <c r="N19" s="74"/>
      <c r="O19" s="74"/>
      <c r="P19" s="74"/>
      <c r="Q19" s="74"/>
      <c r="R19" s="74"/>
      <c r="S19" s="74"/>
      <c r="T19" s="74"/>
      <c r="U19" s="74"/>
      <c r="V19" s="74"/>
      <c r="W19" s="1105"/>
    </row>
    <row r="20" spans="1:23" s="1106" customFormat="1" ht="17.100000000000001" customHeight="1" x14ac:dyDescent="0.25">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1.053639846743295</v>
      </c>
      <c r="K20" s="1104">
        <f t="shared" si="1"/>
        <v>1.053639846743295</v>
      </c>
      <c r="L20" s="74"/>
      <c r="M20" s="74"/>
      <c r="N20" s="74"/>
      <c r="O20" s="74"/>
      <c r="P20" s="74"/>
      <c r="Q20" s="74"/>
      <c r="R20" s="74"/>
      <c r="S20" s="74"/>
      <c r="T20" s="74"/>
      <c r="U20" s="74"/>
      <c r="V20" s="74"/>
      <c r="W20" s="1105"/>
    </row>
    <row r="21" spans="1:23" s="1106" customFormat="1" ht="17.100000000000001" customHeight="1" x14ac:dyDescent="0.25">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1.053639846743295</v>
      </c>
      <c r="K21" s="1104">
        <f t="shared" si="1"/>
        <v>1.053639846743295</v>
      </c>
      <c r="L21" s="74"/>
      <c r="M21" s="74"/>
      <c r="N21" s="74"/>
      <c r="O21" s="74"/>
      <c r="P21" s="74"/>
      <c r="Q21" s="74"/>
      <c r="R21" s="74"/>
      <c r="S21" s="74"/>
      <c r="T21" s="74"/>
      <c r="U21" s="74"/>
      <c r="V21" s="74"/>
      <c r="W21" s="1105"/>
    </row>
    <row r="22" spans="1:23" s="1106" customFormat="1" ht="17.100000000000001" customHeight="1" x14ac:dyDescent="0.25">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1.053639846743295</v>
      </c>
      <c r="K22" s="1104">
        <f t="shared" ref="K22" si="6">MAX(I22:J22)</f>
        <v>1.053639846743295</v>
      </c>
      <c r="L22" s="74"/>
      <c r="M22" s="74"/>
      <c r="N22" s="74"/>
      <c r="O22" s="74"/>
      <c r="P22" s="74"/>
      <c r="Q22" s="74"/>
      <c r="R22" s="74"/>
      <c r="S22" s="74"/>
      <c r="T22" s="74"/>
      <c r="U22" s="74"/>
      <c r="V22" s="74"/>
      <c r="W22" s="1105"/>
    </row>
    <row r="23" spans="1:23" s="1106" customFormat="1" ht="17.100000000000001" customHeight="1" x14ac:dyDescent="0.25">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1.053639846743295</v>
      </c>
      <c r="K23" s="1104">
        <f t="shared" si="1"/>
        <v>1.053639846743295</v>
      </c>
      <c r="L23" s="74"/>
      <c r="M23" s="74"/>
      <c r="N23" s="74"/>
      <c r="O23" s="74"/>
      <c r="P23" s="74"/>
      <c r="Q23" s="74"/>
      <c r="R23" s="74"/>
      <c r="S23" s="74"/>
      <c r="T23" s="74"/>
      <c r="U23" s="74"/>
      <c r="V23" s="74"/>
      <c r="W23" s="1105"/>
    </row>
    <row r="24" spans="1:23" s="1106" customFormat="1" ht="17.100000000000001" customHeight="1" x14ac:dyDescent="0.25">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1.053639846743295</v>
      </c>
      <c r="K24" s="1104">
        <f t="shared" si="1"/>
        <v>1.053639846743295</v>
      </c>
      <c r="L24" s="74"/>
      <c r="M24" s="74"/>
      <c r="N24" s="74"/>
      <c r="O24" s="74"/>
      <c r="P24" s="74"/>
      <c r="Q24" s="74"/>
      <c r="R24" s="74"/>
      <c r="S24" s="74"/>
      <c r="T24" s="74"/>
      <c r="U24" s="74"/>
      <c r="V24" s="74"/>
      <c r="W24" s="1105"/>
    </row>
    <row r="25" spans="1:23" s="1106" customFormat="1" ht="17.100000000000001" customHeight="1" x14ac:dyDescent="0.25">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1.053639846743295</v>
      </c>
      <c r="K25" s="1104">
        <f t="shared" si="1"/>
        <v>1.053639846743295</v>
      </c>
      <c r="L25" s="74"/>
      <c r="M25" s="74"/>
      <c r="N25" s="74"/>
      <c r="O25" s="74"/>
      <c r="P25" s="74"/>
      <c r="Q25" s="74"/>
      <c r="R25" s="74"/>
      <c r="S25" s="74"/>
      <c r="T25" s="74"/>
      <c r="U25" s="74"/>
      <c r="V25" s="74"/>
      <c r="W25" s="1105"/>
    </row>
    <row r="26" spans="1:23" s="1106" customFormat="1" ht="17.100000000000001" customHeight="1" x14ac:dyDescent="0.25">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1.053639846743295</v>
      </c>
      <c r="K26" s="1104">
        <f t="shared" si="1"/>
        <v>1.053639846743295</v>
      </c>
      <c r="L26" s="74"/>
      <c r="M26" s="74"/>
      <c r="N26" s="74"/>
      <c r="O26" s="74"/>
      <c r="P26" s="74"/>
      <c r="Q26" s="74"/>
      <c r="R26" s="74"/>
      <c r="S26" s="74"/>
      <c r="T26" s="74"/>
      <c r="U26" s="74"/>
      <c r="V26" s="74"/>
      <c r="W26" s="1105"/>
    </row>
    <row r="27" spans="1:23" s="1106" customFormat="1" ht="17.100000000000001" customHeight="1" x14ac:dyDescent="0.25">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1.053639846743295</v>
      </c>
      <c r="K27" s="1104">
        <f t="shared" ref="K27" si="7">MAX(I27:J27)</f>
        <v>1.053639846743295</v>
      </c>
      <c r="L27" s="74"/>
      <c r="M27" s="74"/>
      <c r="N27" s="74"/>
      <c r="O27" s="74"/>
      <c r="P27" s="74"/>
      <c r="Q27" s="74"/>
      <c r="R27" s="74"/>
      <c r="S27" s="74"/>
      <c r="T27" s="74"/>
      <c r="U27" s="74"/>
      <c r="V27" s="74"/>
      <c r="W27" s="1105"/>
    </row>
    <row r="28" spans="1:23" s="1106" customFormat="1" ht="17.100000000000001" customHeight="1" x14ac:dyDescent="0.25">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1.053639846743295</v>
      </c>
      <c r="K28" s="1104">
        <f t="shared" si="1"/>
        <v>1.053639846743295</v>
      </c>
      <c r="L28" s="74"/>
      <c r="M28" s="74"/>
      <c r="N28" s="74"/>
      <c r="O28" s="74"/>
      <c r="P28" s="74"/>
      <c r="Q28" s="74"/>
      <c r="R28" s="74"/>
      <c r="S28" s="74"/>
      <c r="T28" s="74"/>
      <c r="U28" s="74"/>
      <c r="V28" s="74"/>
      <c r="W28" s="1105"/>
    </row>
    <row r="29" spans="1:23" s="1106" customFormat="1" ht="17.100000000000001" customHeight="1" x14ac:dyDescent="0.25">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1.053639846743295</v>
      </c>
      <c r="K29" s="1104">
        <f t="shared" si="1"/>
        <v>1.0622198092130406</v>
      </c>
      <c r="L29" s="74"/>
      <c r="M29" s="74"/>
      <c r="N29" s="74"/>
      <c r="O29" s="74"/>
      <c r="P29" s="74"/>
      <c r="Q29" s="74"/>
      <c r="R29" s="74"/>
      <c r="S29" s="74"/>
      <c r="T29" s="74"/>
      <c r="U29" s="74"/>
      <c r="V29" s="74"/>
      <c r="W29" s="1105"/>
    </row>
    <row r="30" spans="1:23" s="1106" customFormat="1" ht="17.100000000000001" customHeight="1" x14ac:dyDescent="0.25">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1.053639846743295</v>
      </c>
      <c r="K30" s="1104">
        <f t="shared" si="1"/>
        <v>1.053639846743295</v>
      </c>
      <c r="L30" s="74"/>
      <c r="M30" s="74"/>
      <c r="N30" s="74"/>
      <c r="O30" s="74"/>
      <c r="P30" s="74"/>
      <c r="Q30" s="74"/>
      <c r="R30" s="74"/>
      <c r="S30" s="74"/>
      <c r="T30" s="74"/>
      <c r="U30" s="74"/>
      <c r="V30" s="74"/>
      <c r="W30" s="1105"/>
    </row>
    <row r="31" spans="1:23" s="1106" customFormat="1" ht="17.100000000000001" customHeight="1" x14ac:dyDescent="0.25">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1.053639846743295</v>
      </c>
      <c r="K31" s="1104">
        <f t="shared" si="1"/>
        <v>1.053639846743295</v>
      </c>
      <c r="L31" s="74"/>
      <c r="M31" s="74"/>
      <c r="N31" s="74"/>
      <c r="O31" s="74"/>
      <c r="P31" s="74"/>
      <c r="Q31" s="74"/>
      <c r="R31" s="74"/>
      <c r="S31" s="74"/>
      <c r="T31" s="74"/>
      <c r="U31" s="74"/>
      <c r="V31" s="74"/>
      <c r="W31" s="1105"/>
    </row>
    <row r="32" spans="1:23" s="1106" customFormat="1" ht="17.100000000000001" customHeight="1" x14ac:dyDescent="0.25">
      <c r="A32" s="977" t="s">
        <v>1168</v>
      </c>
      <c r="B32" s="1099" t="str">
        <f t="shared" si="0"/>
        <v>нет в спискемонолит</v>
      </c>
      <c r="C32" s="947" t="s">
        <v>1515</v>
      </c>
      <c r="D32" s="1107"/>
      <c r="E32" s="1107"/>
      <c r="F32" s="1101"/>
      <c r="G32" s="1107"/>
      <c r="H32" s="1107"/>
      <c r="I32" s="1108">
        <f>J32</f>
        <v>1.053639846743295</v>
      </c>
      <c r="J32" s="1103">
        <f>1*('Ввод исходных данных'!$D$83-'Расчет базового уровня'!$D$145)/(6*8.7)</f>
        <v>1.053639846743295</v>
      </c>
      <c r="K32" s="1104">
        <f t="shared" ref="K32" si="8">MAX(I32:J32)</f>
        <v>1.053639846743295</v>
      </c>
      <c r="L32" s="74"/>
      <c r="M32" s="74"/>
      <c r="N32" s="74"/>
      <c r="O32" s="74"/>
      <c r="P32" s="74"/>
      <c r="Q32" s="74"/>
      <c r="R32" s="74"/>
      <c r="S32" s="74"/>
      <c r="T32" s="74"/>
      <c r="U32" s="74"/>
      <c r="V32" s="74"/>
      <c r="W32" s="1105"/>
    </row>
    <row r="33" spans="1:23" s="1106" customFormat="1" ht="17.100000000000001" customHeight="1" x14ac:dyDescent="0.25">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1.053639846743295</v>
      </c>
      <c r="K33" s="1104">
        <f t="shared" si="1"/>
        <v>1.053639846743295</v>
      </c>
      <c r="L33" s="74"/>
      <c r="M33" s="74"/>
      <c r="N33" s="74"/>
      <c r="O33" s="74"/>
      <c r="P33" s="74"/>
      <c r="Q33" s="74"/>
      <c r="R33" s="74"/>
      <c r="S33" s="74"/>
      <c r="T33" s="74"/>
      <c r="U33" s="74"/>
      <c r="V33" s="74"/>
      <c r="W33" s="1105"/>
    </row>
    <row r="34" spans="1:23" s="1106" customFormat="1" ht="17.100000000000001" customHeight="1" x14ac:dyDescent="0.25">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25">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25">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25">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25">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25">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25">
      <c r="A41" s="74"/>
      <c r="B41" s="74"/>
      <c r="C41" s="74"/>
      <c r="D41" s="74"/>
      <c r="E41" s="74"/>
      <c r="F41" s="74"/>
      <c r="G41" s="74"/>
      <c r="H41" s="74"/>
      <c r="I41" s="74"/>
      <c r="J41" s="74"/>
      <c r="K41" s="74"/>
      <c r="L41" s="74"/>
      <c r="M41" s="74"/>
      <c r="N41" s="74"/>
      <c r="O41" s="74"/>
      <c r="P41" s="74"/>
      <c r="Q41" s="74"/>
      <c r="R41" s="74"/>
      <c r="S41" s="74"/>
      <c r="T41" s="74"/>
      <c r="U41" s="74"/>
      <c r="V41" s="74"/>
    </row>
    <row r="42" spans="1:23" x14ac:dyDescent="0.25">
      <c r="A42" s="74"/>
      <c r="B42" s="74"/>
      <c r="C42" s="74"/>
      <c r="D42" s="74"/>
      <c r="E42" s="74"/>
      <c r="F42" s="74"/>
      <c r="G42" s="74"/>
      <c r="H42" s="74"/>
      <c r="I42" s="74"/>
      <c r="J42" s="74"/>
      <c r="K42" s="74"/>
      <c r="L42" s="74"/>
      <c r="M42" s="74"/>
      <c r="N42" s="74"/>
      <c r="O42" s="74"/>
      <c r="P42" s="74"/>
      <c r="Q42" s="74"/>
      <c r="R42" s="74"/>
      <c r="S42" s="74"/>
      <c r="T42" s="74"/>
      <c r="U42" s="74"/>
      <c r="V42" s="74"/>
    </row>
    <row r="43" spans="1:23" x14ac:dyDescent="0.25">
      <c r="A43" s="95"/>
      <c r="B43" s="95" t="s">
        <v>1510</v>
      </c>
      <c r="C43" s="1121"/>
      <c r="L43" s="74"/>
      <c r="M43" s="74"/>
      <c r="N43" s="74"/>
      <c r="O43" s="74"/>
      <c r="P43" s="74"/>
      <c r="Q43" s="74"/>
      <c r="R43" s="74"/>
      <c r="S43" s="74"/>
      <c r="T43" s="74"/>
      <c r="U43" s="74"/>
      <c r="V43" s="74"/>
    </row>
    <row r="44" spans="1:23" ht="18" customHeight="1" x14ac:dyDescent="0.25">
      <c r="A44" s="95" t="s">
        <v>514</v>
      </c>
      <c r="B44" s="1122">
        <f>1*('Ввод исходных данных'!$D$83-'Расчет базового уровня'!$D$145)/(6*8.7)</f>
        <v>1.053639846743295</v>
      </c>
    </row>
    <row r="45" spans="1:23" x14ac:dyDescent="0.25">
      <c r="A45" s="95" t="s">
        <v>865</v>
      </c>
      <c r="B45" s="1122">
        <f>0.6*B44</f>
        <v>0.63218390804597702</v>
      </c>
    </row>
    <row r="46" spans="1:23" ht="15" customHeight="1" x14ac:dyDescent="0.3">
      <c r="A46" s="95" t="s">
        <v>864</v>
      </c>
      <c r="B46" s="1122">
        <f>IF(C2&gt;25,IF(C2&gt;44, IF(C2&gt;49,0.52,0.38),0.34), 0.17)</f>
        <v>0.52</v>
      </c>
      <c r="I46" s="1123"/>
    </row>
    <row r="47" spans="1:23" x14ac:dyDescent="0.25">
      <c r="A47" s="274" t="s">
        <v>1329</v>
      </c>
      <c r="B47" s="1124">
        <v>1.32</v>
      </c>
    </row>
    <row r="48" spans="1:23" x14ac:dyDescent="0.25">
      <c r="A48" s="274" t="s">
        <v>1333</v>
      </c>
      <c r="B48" s="1124">
        <f>1*('Ввод исходных данных'!$D$83-'Расчет базового уровня'!$D$145)/(6*8.7)</f>
        <v>1.053639846743295</v>
      </c>
    </row>
    <row r="49" spans="1:3" x14ac:dyDescent="0.25">
      <c r="A49" s="274" t="s">
        <v>1334</v>
      </c>
      <c r="B49" s="1124">
        <f>1*('Ввод исходных данных'!$D$83-'Расчет базового уровня'!$D$145)/(3*8.7)</f>
        <v>2.1072796934865901</v>
      </c>
    </row>
    <row r="50" spans="1:3" ht="17.25" customHeight="1" x14ac:dyDescent="0.25">
      <c r="A50" s="274" t="s">
        <v>1308</v>
      </c>
      <c r="B50" s="1124">
        <f>0.4*('Ввод исходных данных'!$D$83-'Расчет базового уровня'!$D$145)/(4*8.7)</f>
        <v>0.63218390804597702</v>
      </c>
    </row>
    <row r="51" spans="1:3" x14ac:dyDescent="0.25">
      <c r="A51" s="274" t="s">
        <v>1304</v>
      </c>
      <c r="B51" s="1124">
        <f>B44</f>
        <v>1.053639846743295</v>
      </c>
    </row>
    <row r="52" spans="1:3" x14ac:dyDescent="0.25">
      <c r="A52" s="1125" t="s">
        <v>937</v>
      </c>
    </row>
    <row r="53" spans="1:3" ht="43.5" x14ac:dyDescent="0.25">
      <c r="A53" s="1126" t="s">
        <v>938</v>
      </c>
      <c r="B53" s="1127" t="s">
        <v>939</v>
      </c>
      <c r="C53" s="1128"/>
    </row>
    <row r="54" spans="1:3" x14ac:dyDescent="0.25">
      <c r="A54" s="1129"/>
      <c r="B54" s="1130" t="s">
        <v>971</v>
      </c>
      <c r="C54" s="1130" t="s">
        <v>932</v>
      </c>
    </row>
    <row r="55" spans="1:3" ht="22.5" x14ac:dyDescent="0.25">
      <c r="A55" s="1131" t="s">
        <v>940</v>
      </c>
      <c r="B55" s="1130">
        <v>0.4</v>
      </c>
      <c r="C55" s="1130"/>
    </row>
    <row r="56" spans="1:3" ht="22.5" x14ac:dyDescent="0.25">
      <c r="A56" s="1131" t="s">
        <v>941</v>
      </c>
      <c r="B56" s="1130">
        <v>0.44</v>
      </c>
      <c r="C56" s="1132">
        <v>0.34</v>
      </c>
    </row>
    <row r="57" spans="1:3" ht="22.5" x14ac:dyDescent="0.25">
      <c r="A57" s="1133" t="s">
        <v>942</v>
      </c>
      <c r="B57" s="1134"/>
      <c r="C57" s="1135"/>
    </row>
    <row r="58" spans="1:3" ht="24.75" customHeight="1" x14ac:dyDescent="0.25">
      <c r="A58" s="1136" t="s">
        <v>943</v>
      </c>
      <c r="B58" s="1137" t="s">
        <v>945</v>
      </c>
      <c r="C58" s="1138"/>
    </row>
    <row r="59" spans="1:3" x14ac:dyDescent="0.25">
      <c r="A59" s="1136" t="s">
        <v>944</v>
      </c>
      <c r="B59" s="1137" t="s">
        <v>946</v>
      </c>
      <c r="C59" s="1138"/>
    </row>
    <row r="60" spans="1:3" ht="22.5" customHeight="1" x14ac:dyDescent="0.25">
      <c r="A60" s="1131" t="s">
        <v>947</v>
      </c>
      <c r="B60" s="1139" t="s">
        <v>945</v>
      </c>
      <c r="C60" s="1140"/>
    </row>
    <row r="61" spans="1:3" ht="22.5" x14ac:dyDescent="0.25">
      <c r="A61" s="1131" t="s">
        <v>948</v>
      </c>
      <c r="B61" s="1130">
        <v>0.36</v>
      </c>
      <c r="C61" s="1130"/>
    </row>
    <row r="62" spans="1:3" ht="22.5" x14ac:dyDescent="0.25">
      <c r="A62" s="1131" t="s">
        <v>949</v>
      </c>
      <c r="B62" s="1130">
        <v>0.52</v>
      </c>
      <c r="C62" s="1130"/>
    </row>
    <row r="63" spans="1:3" ht="25.5" customHeight="1" x14ac:dyDescent="0.25">
      <c r="A63" s="1131" t="s">
        <v>950</v>
      </c>
      <c r="B63" s="1130">
        <v>0.55000000000000004</v>
      </c>
      <c r="C63" s="1130">
        <v>0.46</v>
      </c>
    </row>
    <row r="64" spans="1:3" x14ac:dyDescent="0.25">
      <c r="A64" s="1141" t="s">
        <v>951</v>
      </c>
      <c r="B64" s="1142"/>
      <c r="C64" s="1142"/>
    </row>
    <row r="65" spans="1:3" x14ac:dyDescent="0.25">
      <c r="A65" s="1143" t="s">
        <v>952</v>
      </c>
      <c r="B65" s="1136">
        <v>0.38</v>
      </c>
      <c r="C65" s="1136">
        <v>0.34</v>
      </c>
    </row>
    <row r="66" spans="1:3" x14ac:dyDescent="0.25">
      <c r="A66" s="1143" t="s">
        <v>953</v>
      </c>
      <c r="B66" s="1136">
        <v>0.51</v>
      </c>
      <c r="C66" s="1136">
        <v>0.43</v>
      </c>
    </row>
    <row r="67" spans="1:3" ht="36.75" customHeight="1" x14ac:dyDescent="0.25">
      <c r="A67" s="1144" t="s">
        <v>954</v>
      </c>
      <c r="B67" s="1145">
        <v>0.56000000000000005</v>
      </c>
      <c r="C67" s="1145">
        <v>0.47</v>
      </c>
    </row>
    <row r="68" spans="1:3" ht="36.75" customHeight="1" x14ac:dyDescent="0.25">
      <c r="A68" s="1141" t="s">
        <v>955</v>
      </c>
      <c r="B68" s="1142"/>
      <c r="C68" s="1142"/>
    </row>
    <row r="69" spans="1:3" ht="22.5" x14ac:dyDescent="0.25">
      <c r="A69" s="1143" t="s">
        <v>956</v>
      </c>
      <c r="B69" s="1136">
        <v>0.51</v>
      </c>
      <c r="C69" s="1136">
        <v>0.43</v>
      </c>
    </row>
    <row r="70" spans="1:3" ht="22.5" x14ac:dyDescent="0.25">
      <c r="A70" s="1143" t="s">
        <v>957</v>
      </c>
      <c r="B70" s="1136">
        <v>0.54</v>
      </c>
      <c r="C70" s="1136">
        <v>0.45</v>
      </c>
    </row>
    <row r="71" spans="1:3" x14ac:dyDescent="0.25">
      <c r="A71" s="1143" t="s">
        <v>953</v>
      </c>
      <c r="B71" s="1136">
        <v>0.57999999999999996</v>
      </c>
      <c r="C71" s="1136">
        <v>0.48</v>
      </c>
    </row>
    <row r="72" spans="1:3" x14ac:dyDescent="0.25">
      <c r="A72" s="1143" t="s">
        <v>954</v>
      </c>
      <c r="B72" s="1136">
        <v>0.68</v>
      </c>
      <c r="C72" s="1136">
        <v>0.52</v>
      </c>
    </row>
    <row r="73" spans="1:3" ht="22.5" x14ac:dyDescent="0.25">
      <c r="A73" s="1144" t="s">
        <v>958</v>
      </c>
      <c r="B73" s="1145">
        <v>0.65</v>
      </c>
      <c r="C73" s="1145">
        <v>0.53</v>
      </c>
    </row>
    <row r="74" spans="1:3" ht="22.5" customHeight="1" x14ac:dyDescent="0.25">
      <c r="A74" s="1844" t="s">
        <v>959</v>
      </c>
      <c r="B74" s="1845"/>
      <c r="C74" s="1846"/>
    </row>
    <row r="75" spans="1:3" ht="45" customHeight="1" x14ac:dyDescent="0.25">
      <c r="A75" s="1143" t="s">
        <v>952</v>
      </c>
      <c r="B75" s="1136">
        <v>0.56000000000000005</v>
      </c>
      <c r="C75" s="1136"/>
    </row>
    <row r="76" spans="1:3" ht="56.25" customHeight="1" x14ac:dyDescent="0.25">
      <c r="A76" s="1143" t="s">
        <v>953</v>
      </c>
      <c r="B76" s="1136">
        <v>0.65</v>
      </c>
      <c r="C76" s="1136"/>
    </row>
    <row r="77" spans="1:3" ht="33.75" customHeight="1" x14ac:dyDescent="0.25">
      <c r="A77" s="1143" t="s">
        <v>954</v>
      </c>
      <c r="B77" s="1136">
        <v>0.72</v>
      </c>
      <c r="C77" s="1136"/>
    </row>
    <row r="78" spans="1:3" ht="22.5" x14ac:dyDescent="0.25">
      <c r="A78" s="1143" t="s">
        <v>958</v>
      </c>
      <c r="B78" s="1145">
        <v>0.69</v>
      </c>
      <c r="C78" s="1145"/>
    </row>
    <row r="79" spans="1:3" x14ac:dyDescent="0.25">
      <c r="A79" s="1844" t="s">
        <v>960</v>
      </c>
      <c r="B79" s="1845"/>
      <c r="C79" s="1846"/>
    </row>
    <row r="80" spans="1:3" x14ac:dyDescent="0.25">
      <c r="A80" s="1143" t="s">
        <v>952</v>
      </c>
      <c r="B80" s="1136">
        <v>0.68</v>
      </c>
      <c r="C80" s="1136" t="s">
        <v>746</v>
      </c>
    </row>
    <row r="81" spans="1:15" s="1146" customFormat="1" ht="13.5" customHeight="1" x14ac:dyDescent="0.25">
      <c r="A81" s="1143" t="s">
        <v>953</v>
      </c>
      <c r="B81" s="1136">
        <v>0.74</v>
      </c>
      <c r="C81" s="1136" t="s">
        <v>746</v>
      </c>
      <c r="D81" s="75"/>
      <c r="E81" s="75"/>
      <c r="F81" s="75"/>
      <c r="G81" s="75"/>
      <c r="H81" s="75"/>
      <c r="I81" s="75"/>
      <c r="J81" s="75"/>
      <c r="K81" s="75"/>
      <c r="L81" s="75"/>
      <c r="M81" s="75"/>
      <c r="N81" s="75"/>
      <c r="O81" s="75"/>
    </row>
    <row r="82" spans="1:15" s="1146" customFormat="1" ht="13.5" customHeight="1" x14ac:dyDescent="0.25">
      <c r="A82" s="1143" t="s">
        <v>954</v>
      </c>
      <c r="B82" s="1136">
        <v>0.81</v>
      </c>
      <c r="C82" s="1136" t="s">
        <v>746</v>
      </c>
      <c r="D82" s="75"/>
      <c r="E82" s="75"/>
      <c r="F82" s="75"/>
      <c r="G82" s="75"/>
      <c r="H82" s="75"/>
      <c r="I82" s="75"/>
      <c r="J82" s="75"/>
      <c r="K82" s="75"/>
      <c r="L82" s="75"/>
      <c r="M82" s="75"/>
      <c r="N82" s="75"/>
      <c r="O82" s="75"/>
    </row>
    <row r="83" spans="1:15" s="1146" customFormat="1" ht="13.5" customHeight="1" x14ac:dyDescent="0.25">
      <c r="A83" s="1143" t="s">
        <v>958</v>
      </c>
      <c r="B83" s="1145">
        <v>0.82</v>
      </c>
      <c r="C83" s="1145" t="s">
        <v>746</v>
      </c>
      <c r="D83" s="75"/>
      <c r="E83" s="75"/>
      <c r="F83" s="75"/>
      <c r="G83" s="75"/>
      <c r="H83" s="75"/>
      <c r="I83" s="75"/>
      <c r="J83" s="75"/>
      <c r="K83" s="75"/>
      <c r="L83" s="75"/>
      <c r="M83" s="75"/>
      <c r="N83" s="75"/>
      <c r="O83" s="75"/>
    </row>
    <row r="84" spans="1:15" s="1146" customFormat="1" ht="13.5" customHeight="1" x14ac:dyDescent="0.25">
      <c r="A84" s="1147" t="s">
        <v>961</v>
      </c>
      <c r="B84" s="1130">
        <v>0.7</v>
      </c>
      <c r="C84" s="1130" t="s">
        <v>746</v>
      </c>
      <c r="D84" s="75"/>
      <c r="E84" s="75"/>
      <c r="F84" s="75"/>
      <c r="G84" s="75"/>
      <c r="H84" s="75"/>
      <c r="I84" s="75"/>
      <c r="J84" s="75"/>
      <c r="K84" s="75"/>
      <c r="L84" s="75"/>
      <c r="M84" s="75"/>
      <c r="N84" s="75"/>
      <c r="O84" s="75"/>
    </row>
    <row r="85" spans="1:15" s="1146" customFormat="1" ht="13.5" customHeight="1" x14ac:dyDescent="0.25">
      <c r="A85" s="1131" t="s">
        <v>962</v>
      </c>
      <c r="B85" s="1130">
        <v>0.74</v>
      </c>
      <c r="C85" s="1130" t="s">
        <v>746</v>
      </c>
      <c r="D85" s="75"/>
      <c r="E85" s="75"/>
      <c r="F85" s="75"/>
      <c r="G85" s="75"/>
      <c r="H85" s="75"/>
      <c r="I85" s="75"/>
      <c r="J85" s="75"/>
      <c r="K85" s="75"/>
      <c r="L85" s="75"/>
      <c r="M85" s="75"/>
      <c r="N85" s="75"/>
      <c r="O85" s="75"/>
    </row>
    <row r="86" spans="1:15" s="1146" customFormat="1" ht="13.5" customHeight="1" x14ac:dyDescent="0.25">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25">
      <c r="A87" s="1148" t="s">
        <v>965</v>
      </c>
      <c r="B87" s="1149"/>
      <c r="C87" s="1150"/>
      <c r="D87" s="75"/>
      <c r="E87" s="75"/>
      <c r="F87" s="75"/>
      <c r="G87" s="75"/>
      <c r="H87" s="75"/>
      <c r="I87" s="75"/>
      <c r="J87" s="75"/>
      <c r="K87" s="75"/>
      <c r="L87" s="75"/>
      <c r="M87" s="75"/>
      <c r="N87" s="75"/>
      <c r="O87" s="75"/>
    </row>
    <row r="88" spans="1:15" s="1146" customFormat="1" ht="13.5" customHeight="1" x14ac:dyDescent="0.25">
      <c r="A88" s="1151"/>
      <c r="B88" s="1152"/>
      <c r="C88" s="1153"/>
      <c r="D88" s="75"/>
      <c r="E88" s="75"/>
      <c r="F88" s="75"/>
      <c r="G88" s="75"/>
      <c r="H88" s="75"/>
      <c r="I88" s="75"/>
      <c r="J88" s="75"/>
      <c r="K88" s="75"/>
      <c r="L88" s="75"/>
      <c r="M88" s="75"/>
      <c r="N88" s="75"/>
      <c r="O88" s="75"/>
    </row>
    <row r="89" spans="1:15" s="1146" customFormat="1" ht="13.5" customHeight="1" x14ac:dyDescent="0.25">
      <c r="A89" s="1154" t="s">
        <v>966</v>
      </c>
      <c r="B89" s="1155"/>
      <c r="C89" s="1156"/>
      <c r="D89" s="75"/>
      <c r="E89" s="75"/>
      <c r="F89" s="75"/>
      <c r="G89" s="75"/>
      <c r="H89" s="75"/>
      <c r="I89" s="75"/>
      <c r="J89" s="75"/>
      <c r="K89" s="75"/>
      <c r="L89" s="75"/>
      <c r="M89" s="75"/>
      <c r="N89" s="75"/>
      <c r="O89" s="75"/>
    </row>
    <row r="90" spans="1:15" s="1146" customFormat="1" ht="13.5" customHeight="1" x14ac:dyDescent="0.25">
      <c r="A90" s="1847" t="s">
        <v>967</v>
      </c>
      <c r="B90" s="1848"/>
      <c r="C90" s="1849"/>
      <c r="D90" s="75"/>
      <c r="E90" s="75"/>
      <c r="F90" s="75"/>
      <c r="G90" s="75"/>
      <c r="H90" s="75"/>
      <c r="I90" s="75"/>
      <c r="J90" s="75"/>
      <c r="K90" s="75"/>
      <c r="L90" s="75"/>
      <c r="M90" s="75"/>
      <c r="N90" s="75"/>
      <c r="O90" s="75"/>
    </row>
    <row r="91" spans="1:15" s="1146" customFormat="1" ht="13.5" customHeight="1" x14ac:dyDescent="0.25">
      <c r="A91" s="1847" t="s">
        <v>968</v>
      </c>
      <c r="B91" s="1848"/>
      <c r="C91" s="1849"/>
      <c r="D91" s="75"/>
      <c r="E91" s="75"/>
      <c r="F91" s="75"/>
      <c r="G91" s="75"/>
      <c r="H91" s="75"/>
      <c r="I91" s="75"/>
      <c r="J91" s="75"/>
      <c r="K91" s="75"/>
      <c r="L91" s="75"/>
      <c r="M91" s="75"/>
      <c r="N91" s="75"/>
      <c r="O91" s="75"/>
    </row>
    <row r="92" spans="1:15" s="1146" customFormat="1" ht="13.5" customHeight="1" x14ac:dyDescent="0.25">
      <c r="A92" s="1847" t="s">
        <v>969</v>
      </c>
      <c r="B92" s="1848"/>
      <c r="C92" s="1849"/>
      <c r="D92" s="75"/>
      <c r="E92" s="75"/>
      <c r="F92" s="75"/>
      <c r="G92" s="75"/>
      <c r="H92" s="75"/>
      <c r="I92" s="75"/>
      <c r="J92" s="75"/>
      <c r="K92" s="75"/>
      <c r="L92" s="75"/>
      <c r="M92" s="75"/>
      <c r="N92" s="75"/>
      <c r="O92" s="75"/>
    </row>
    <row r="93" spans="1:15" s="1146" customFormat="1" ht="13.5" customHeight="1" x14ac:dyDescent="0.25">
      <c r="A93" s="1841" t="s">
        <v>970</v>
      </c>
      <c r="B93" s="1842"/>
      <c r="C93" s="1843"/>
      <c r="D93" s="75"/>
      <c r="E93" s="75"/>
      <c r="F93" s="75"/>
      <c r="G93" s="75"/>
      <c r="H93" s="75"/>
      <c r="I93" s="75"/>
      <c r="J93" s="75"/>
      <c r="K93" s="75"/>
      <c r="L93" s="75"/>
      <c r="M93" s="75"/>
      <c r="N93" s="75"/>
      <c r="O93" s="75"/>
    </row>
    <row r="94" spans="1:15" s="1146" customFormat="1" ht="13.5" customHeight="1" x14ac:dyDescent="0.25">
      <c r="A94" s="75"/>
      <c r="B94" s="75"/>
      <c r="C94" s="75"/>
      <c r="D94" s="75"/>
      <c r="E94" s="75"/>
      <c r="F94" s="75"/>
      <c r="G94" s="75"/>
      <c r="H94" s="75"/>
      <c r="I94" s="75"/>
      <c r="J94" s="75"/>
      <c r="K94" s="75"/>
      <c r="L94" s="75"/>
      <c r="M94" s="75"/>
      <c r="N94" s="75"/>
      <c r="O94" s="75"/>
    </row>
    <row r="95" spans="1:15" s="1146" customFormat="1" ht="13.5" customHeight="1" x14ac:dyDescent="0.25">
      <c r="A95" s="75"/>
      <c r="B95" s="75"/>
      <c r="C95" s="75"/>
      <c r="D95" s="75"/>
      <c r="E95" s="75"/>
      <c r="F95" s="75"/>
      <c r="G95" s="75"/>
      <c r="H95" s="75"/>
      <c r="I95" s="75"/>
      <c r="J95" s="75"/>
      <c r="K95" s="75"/>
      <c r="L95" s="75"/>
      <c r="M95" s="75"/>
      <c r="N95" s="75"/>
      <c r="O95" s="75"/>
    </row>
    <row r="96" spans="1:15" s="1146" customFormat="1" ht="13.5" customHeight="1" x14ac:dyDescent="0.25">
      <c r="A96" s="75"/>
      <c r="B96" s="75"/>
      <c r="C96" s="75"/>
      <c r="D96" s="75"/>
      <c r="E96" s="75"/>
      <c r="F96" s="75"/>
      <c r="G96" s="75"/>
      <c r="H96" s="75"/>
      <c r="I96" s="75"/>
      <c r="J96" s="75"/>
      <c r="K96" s="75"/>
      <c r="L96" s="75"/>
      <c r="M96" s="75"/>
      <c r="N96" s="75"/>
      <c r="O96" s="75"/>
    </row>
    <row r="97" spans="1:8" s="1146" customFormat="1" ht="13.5" customHeight="1" x14ac:dyDescent="0.25">
      <c r="A97" s="1859" t="s">
        <v>901</v>
      </c>
      <c r="B97" s="1860" t="s">
        <v>1005</v>
      </c>
      <c r="C97" s="1860"/>
      <c r="D97" s="1860"/>
      <c r="E97" s="1860" t="s">
        <v>1006</v>
      </c>
      <c r="F97" s="1860"/>
      <c r="G97" s="1860"/>
      <c r="H97" s="1860"/>
    </row>
    <row r="98" spans="1:8" s="1146" customFormat="1" ht="13.5" customHeight="1" x14ac:dyDescent="0.25">
      <c r="A98" s="1859"/>
      <c r="B98" s="1157" t="s">
        <v>1007</v>
      </c>
      <c r="C98" s="1860" t="s">
        <v>1009</v>
      </c>
      <c r="D98" s="1867" t="s">
        <v>1010</v>
      </c>
      <c r="E98" s="1860" t="s">
        <v>1012</v>
      </c>
      <c r="F98" s="1860"/>
      <c r="G98" s="1860" t="s">
        <v>1015</v>
      </c>
      <c r="H98" s="1860"/>
    </row>
    <row r="99" spans="1:8" s="1146" customFormat="1" ht="13.5" customHeight="1" x14ac:dyDescent="0.25">
      <c r="A99" s="1859"/>
      <c r="B99" s="1157" t="s">
        <v>1008</v>
      </c>
      <c r="C99" s="1860"/>
      <c r="D99" s="1868"/>
      <c r="E99" s="1860" t="s">
        <v>1013</v>
      </c>
      <c r="F99" s="1860"/>
      <c r="G99" s="1860"/>
      <c r="H99" s="1860"/>
    </row>
    <row r="100" spans="1:8" s="1146" customFormat="1" ht="13.5" customHeight="1" x14ac:dyDescent="0.25">
      <c r="A100" s="1859"/>
      <c r="B100" s="1158"/>
      <c r="C100" s="1860"/>
      <c r="D100" s="1869"/>
      <c r="E100" s="1860" t="s">
        <v>1014</v>
      </c>
      <c r="F100" s="1860"/>
      <c r="G100" s="1860"/>
      <c r="H100" s="1860"/>
    </row>
    <row r="101" spans="1:8" s="1146" customFormat="1" ht="13.5" customHeight="1" x14ac:dyDescent="0.25">
      <c r="A101" s="1859"/>
      <c r="B101" s="1158"/>
      <c r="C101" s="1860"/>
      <c r="D101" s="1157" t="s">
        <v>1011</v>
      </c>
      <c r="E101" s="1157" t="s">
        <v>563</v>
      </c>
      <c r="F101" s="1157" t="s">
        <v>925</v>
      </c>
      <c r="G101" s="1157" t="s">
        <v>563</v>
      </c>
      <c r="H101" s="1159" t="s">
        <v>925</v>
      </c>
    </row>
    <row r="102" spans="1:8" s="1146" customFormat="1" ht="13.5" customHeight="1" x14ac:dyDescent="0.25">
      <c r="A102" s="1160"/>
      <c r="B102" s="1157"/>
      <c r="C102" s="1157"/>
      <c r="D102" s="1157"/>
      <c r="E102" s="1157"/>
      <c r="F102" s="1157"/>
      <c r="G102" s="1157"/>
      <c r="H102" s="1157"/>
    </row>
    <row r="103" spans="1:8" s="1146" customFormat="1" ht="13.5" customHeight="1" x14ac:dyDescent="0.25">
      <c r="A103" s="1862" t="s">
        <v>1016</v>
      </c>
      <c r="B103" s="1862"/>
      <c r="C103" s="1862"/>
      <c r="D103" s="1862"/>
      <c r="E103" s="1862"/>
      <c r="F103" s="1862"/>
      <c r="G103" s="1862"/>
      <c r="H103" s="1862"/>
    </row>
    <row r="104" spans="1:8" s="1146" customFormat="1" ht="13.5" customHeight="1" x14ac:dyDescent="0.25">
      <c r="A104" s="1861" t="s">
        <v>1017</v>
      </c>
      <c r="B104" s="1861"/>
      <c r="C104" s="1861"/>
      <c r="D104" s="1861"/>
      <c r="E104" s="1861"/>
      <c r="F104" s="1861"/>
      <c r="G104" s="1861"/>
      <c r="H104" s="1861"/>
    </row>
    <row r="105" spans="1:8" s="1146" customFormat="1" ht="13.5" customHeight="1" x14ac:dyDescent="0.25">
      <c r="A105" s="1157" t="s">
        <v>1018</v>
      </c>
      <c r="B105" s="1157">
        <v>150</v>
      </c>
      <c r="C105" s="1157">
        <v>1.34</v>
      </c>
      <c r="D105" s="1157">
        <v>0.05</v>
      </c>
      <c r="E105" s="1157">
        <v>1</v>
      </c>
      <c r="F105" s="1157">
        <v>5</v>
      </c>
      <c r="G105" s="1157">
        <v>5.1999999999999998E-2</v>
      </c>
      <c r="H105" s="1157">
        <v>0.06</v>
      </c>
    </row>
    <row r="106" spans="1:8" s="1146" customFormat="1" ht="13.5" customHeight="1" x14ac:dyDescent="0.25">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25">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25">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25">
      <c r="A109" s="1157" t="s">
        <v>1022</v>
      </c>
      <c r="B109" s="1157">
        <v>24</v>
      </c>
      <c r="C109" s="1157">
        <v>1.34</v>
      </c>
      <c r="D109" s="1157">
        <v>0.04</v>
      </c>
      <c r="E109" s="1157">
        <v>2</v>
      </c>
      <c r="F109" s="1157">
        <v>10</v>
      </c>
      <c r="G109" s="1157">
        <v>0.04</v>
      </c>
      <c r="H109" s="1157">
        <v>4.1000000000000002E-2</v>
      </c>
    </row>
    <row r="110" spans="1:8" s="1146" customFormat="1" ht="13.5" customHeight="1" x14ac:dyDescent="0.25">
      <c r="A110" s="1157" t="s">
        <v>1023</v>
      </c>
      <c r="B110" s="1157">
        <v>25</v>
      </c>
      <c r="C110" s="1157">
        <v>1.34</v>
      </c>
      <c r="D110" s="1157">
        <v>2.9000000000000001E-2</v>
      </c>
      <c r="E110" s="1157">
        <v>2</v>
      </c>
      <c r="F110" s="1157">
        <v>10</v>
      </c>
      <c r="G110" s="1157">
        <v>3.1E-2</v>
      </c>
      <c r="H110" s="1157">
        <v>3.1E-2</v>
      </c>
    </row>
    <row r="111" spans="1:8" s="1146" customFormat="1" ht="13.5" customHeight="1" x14ac:dyDescent="0.25">
      <c r="A111" s="1157" t="s">
        <v>1024</v>
      </c>
      <c r="B111" s="1157">
        <v>28</v>
      </c>
      <c r="C111" s="1157">
        <v>1.34</v>
      </c>
      <c r="D111" s="1157">
        <v>2.9000000000000001E-2</v>
      </c>
      <c r="E111" s="1157">
        <v>2</v>
      </c>
      <c r="F111" s="1157">
        <v>10</v>
      </c>
      <c r="G111" s="1157">
        <v>3.1E-2</v>
      </c>
      <c r="H111" s="1157">
        <v>3.1E-2</v>
      </c>
    </row>
    <row r="112" spans="1:8" s="1146" customFormat="1" ht="13.5" customHeight="1" x14ac:dyDescent="0.25">
      <c r="A112" s="1157" t="s">
        <v>1025</v>
      </c>
      <c r="B112" s="1157">
        <v>33</v>
      </c>
      <c r="C112" s="1157">
        <v>1.34</v>
      </c>
      <c r="D112" s="1157">
        <v>2.9000000000000001E-2</v>
      </c>
      <c r="E112" s="1157">
        <v>2</v>
      </c>
      <c r="F112" s="1157">
        <v>10</v>
      </c>
      <c r="G112" s="1157">
        <v>3.1E-2</v>
      </c>
      <c r="H112" s="1157">
        <v>3.1E-2</v>
      </c>
    </row>
    <row r="113" spans="1:8" s="1146" customFormat="1" ht="13.5" customHeight="1" x14ac:dyDescent="0.25">
      <c r="A113" s="1157" t="s">
        <v>1026</v>
      </c>
      <c r="B113" s="1157">
        <v>35</v>
      </c>
      <c r="C113" s="1157">
        <v>1.34</v>
      </c>
      <c r="D113" s="1157">
        <v>0.03</v>
      </c>
      <c r="E113" s="1157">
        <v>2</v>
      </c>
      <c r="F113" s="1157">
        <v>10</v>
      </c>
      <c r="G113" s="1157">
        <v>3.1E-2</v>
      </c>
      <c r="H113" s="1157">
        <v>3.1E-2</v>
      </c>
    </row>
    <row r="114" spans="1:8" s="1146" customFormat="1" ht="13.5" customHeight="1" x14ac:dyDescent="0.25">
      <c r="A114" s="1157" t="s">
        <v>1027</v>
      </c>
      <c r="B114" s="1157">
        <v>45</v>
      </c>
      <c r="C114" s="1157">
        <v>1.34</v>
      </c>
      <c r="D114" s="1157">
        <v>0.03</v>
      </c>
      <c r="E114" s="1157">
        <v>2</v>
      </c>
      <c r="F114" s="1157">
        <v>10</v>
      </c>
      <c r="G114" s="1157">
        <v>3.1E-2</v>
      </c>
      <c r="H114" s="1157">
        <v>3.1E-2</v>
      </c>
    </row>
    <row r="115" spans="1:8" s="1146" customFormat="1" ht="13.5" customHeight="1" x14ac:dyDescent="0.25">
      <c r="A115" s="1157" t="s">
        <v>1028</v>
      </c>
      <c r="B115" s="1157">
        <v>15</v>
      </c>
      <c r="C115" s="1157">
        <v>1.34</v>
      </c>
      <c r="D115" s="1157">
        <v>3.9E-2</v>
      </c>
      <c r="E115" s="1157">
        <v>2</v>
      </c>
      <c r="F115" s="1157">
        <v>10</v>
      </c>
      <c r="G115" s="1157">
        <v>0.04</v>
      </c>
      <c r="H115" s="1157">
        <v>4.3999999999999997E-2</v>
      </c>
    </row>
    <row r="116" spans="1:8" s="1146" customFormat="1" ht="13.5" customHeight="1" x14ac:dyDescent="0.25">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25">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25">
      <c r="A118" s="1157" t="s">
        <v>1031</v>
      </c>
      <c r="B118" s="1157">
        <v>28</v>
      </c>
      <c r="C118" s="1161">
        <v>1.45</v>
      </c>
      <c r="D118" s="1162">
        <v>2.9000000000000001E-2</v>
      </c>
      <c r="E118" s="1157">
        <v>2</v>
      </c>
      <c r="F118" s="1157">
        <v>10</v>
      </c>
      <c r="G118" s="1157">
        <v>0.03</v>
      </c>
      <c r="H118" s="1157">
        <v>3.1E-2</v>
      </c>
    </row>
    <row r="119" spans="1:8" s="1146" customFormat="1" ht="13.5" customHeight="1" x14ac:dyDescent="0.25">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25">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25">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25">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25">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25">
      <c r="A124" s="1157" t="s">
        <v>1037</v>
      </c>
      <c r="B124" s="1157">
        <v>25</v>
      </c>
      <c r="C124" s="1161">
        <v>1.45</v>
      </c>
      <c r="D124" s="1162">
        <v>2.9000000000000001E-2</v>
      </c>
      <c r="E124" s="1157">
        <v>2</v>
      </c>
      <c r="F124" s="1157">
        <v>10</v>
      </c>
      <c r="G124" s="1157">
        <v>3.1E-2</v>
      </c>
      <c r="H124" s="1157">
        <v>3.1E-2</v>
      </c>
    </row>
    <row r="125" spans="1:8" s="1146" customFormat="1" ht="13.5" customHeight="1" x14ac:dyDescent="0.25">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25">
      <c r="A126" s="1860" t="s">
        <v>1022</v>
      </c>
      <c r="B126" s="1157" t="s">
        <v>1039</v>
      </c>
      <c r="C126" s="1863">
        <v>1.26</v>
      </c>
      <c r="D126" s="1864">
        <v>4.1000000000000002E-2</v>
      </c>
      <c r="E126" s="1860">
        <v>2</v>
      </c>
      <c r="F126" s="1860">
        <v>10</v>
      </c>
      <c r="G126" s="1860">
        <v>0.05</v>
      </c>
      <c r="H126" s="1860">
        <v>5.1999999999999998E-2</v>
      </c>
    </row>
    <row r="127" spans="1:8" s="1146" customFormat="1" ht="13.5" customHeight="1" x14ac:dyDescent="0.25">
      <c r="A127" s="1860"/>
      <c r="B127" s="1157" t="s">
        <v>1040</v>
      </c>
      <c r="C127" s="1863"/>
      <c r="D127" s="1864"/>
      <c r="E127" s="1860"/>
      <c r="F127" s="1860"/>
      <c r="G127" s="1860"/>
      <c r="H127" s="1860"/>
    </row>
    <row r="128" spans="1:8" s="1146" customFormat="1" ht="13.5" customHeight="1" x14ac:dyDescent="0.25">
      <c r="A128" s="1157" t="s">
        <v>1041</v>
      </c>
      <c r="B128" s="1157">
        <v>80</v>
      </c>
      <c r="C128" s="1161">
        <v>1.47</v>
      </c>
      <c r="D128" s="1162">
        <v>4.1000000000000002E-2</v>
      </c>
      <c r="E128" s="1157">
        <v>2</v>
      </c>
      <c r="F128" s="1157">
        <v>5</v>
      </c>
      <c r="G128" s="1157">
        <v>0.05</v>
      </c>
      <c r="H128" s="1157">
        <v>0.05</v>
      </c>
    </row>
    <row r="129" spans="1:8" s="1146" customFormat="1" ht="13.5" customHeight="1" x14ac:dyDescent="0.25">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25">
      <c r="A130" s="1160" t="s">
        <v>1019</v>
      </c>
      <c r="B130" s="1157">
        <v>40</v>
      </c>
      <c r="C130" s="1161">
        <v>1.47</v>
      </c>
      <c r="D130" s="1162">
        <v>2.9000000000000001E-2</v>
      </c>
      <c r="E130" s="1157">
        <v>2</v>
      </c>
      <c r="F130" s="1157">
        <v>5</v>
      </c>
      <c r="G130" s="1157">
        <v>0.04</v>
      </c>
      <c r="H130" s="1157">
        <v>0.04</v>
      </c>
    </row>
    <row r="131" spans="1:8" s="1146" customFormat="1" ht="29.25" customHeight="1" x14ac:dyDescent="0.25">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25">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25">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25">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25">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25">
      <c r="A136" s="1157" t="s">
        <v>1044</v>
      </c>
      <c r="B136" s="1157">
        <v>300</v>
      </c>
      <c r="C136" s="1161">
        <v>1.05</v>
      </c>
      <c r="D136" s="1162">
        <v>7.5999999999999998E-2</v>
      </c>
      <c r="E136" s="1157">
        <v>3</v>
      </c>
      <c r="F136" s="1157">
        <v>12</v>
      </c>
      <c r="G136" s="1157">
        <v>0.08</v>
      </c>
      <c r="H136" s="1157">
        <v>0.12</v>
      </c>
    </row>
    <row r="137" spans="1:8" s="1146" customFormat="1" ht="13.5" customHeight="1" x14ac:dyDescent="0.25">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25">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25">
      <c r="A139" s="1860" t="s">
        <v>1046</v>
      </c>
      <c r="B139" s="1157" t="s">
        <v>1047</v>
      </c>
      <c r="C139" s="1161">
        <v>1.806</v>
      </c>
      <c r="D139" s="1162">
        <v>3.9E-2</v>
      </c>
      <c r="E139" s="1157">
        <v>0</v>
      </c>
      <c r="F139" s="1157">
        <v>0</v>
      </c>
      <c r="G139" s="1157">
        <v>3.9E-2</v>
      </c>
      <c r="H139" s="1157" t="s">
        <v>1052</v>
      </c>
    </row>
    <row r="140" spans="1:8" s="1146" customFormat="1" ht="13.5" customHeight="1" x14ac:dyDescent="0.25">
      <c r="A140" s="1860"/>
      <c r="B140" s="1157" t="s">
        <v>1048</v>
      </c>
      <c r="C140" s="1161" t="s">
        <v>1049</v>
      </c>
      <c r="D140" s="1162" t="s">
        <v>1050</v>
      </c>
      <c r="E140" s="1157" t="s">
        <v>1051</v>
      </c>
      <c r="F140" s="1157" t="s">
        <v>1051</v>
      </c>
      <c r="G140" s="1157" t="s">
        <v>1050</v>
      </c>
      <c r="H140" s="1157">
        <v>4.1000000000000002E-2</v>
      </c>
    </row>
    <row r="141" spans="1:8" s="1146" customFormat="1" ht="13.5" customHeight="1" x14ac:dyDescent="0.25">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25">
      <c r="A142" s="1157" t="s">
        <v>1054</v>
      </c>
      <c r="B142" s="1157">
        <v>45</v>
      </c>
      <c r="C142" s="1161">
        <v>1.53</v>
      </c>
      <c r="D142" s="1162">
        <v>0.03</v>
      </c>
      <c r="E142" s="1157">
        <v>2</v>
      </c>
      <c r="F142" s="1157">
        <v>3</v>
      </c>
      <c r="G142" s="1157">
        <v>3.1E-2</v>
      </c>
      <c r="H142" s="1157">
        <v>3.2000000000000001E-2</v>
      </c>
    </row>
    <row r="143" spans="1:8" s="1146" customFormat="1" ht="13.5" customHeight="1" x14ac:dyDescent="0.25">
      <c r="A143" s="1861" t="s">
        <v>1055</v>
      </c>
      <c r="B143" s="1861"/>
      <c r="C143" s="1861"/>
      <c r="D143" s="1861"/>
      <c r="E143" s="1861"/>
      <c r="F143" s="1861"/>
      <c r="G143" s="1861"/>
      <c r="H143" s="1861"/>
    </row>
    <row r="144" spans="1:8" s="1146" customFormat="1" ht="13.5" customHeight="1" x14ac:dyDescent="0.25">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25">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25">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25">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25">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25">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25">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25">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25">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25">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25">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25">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25">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25">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25">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25">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25">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25">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25">
      <c r="A162" s="1163"/>
      <c r="B162" s="1163"/>
      <c r="C162" s="1163"/>
      <c r="D162" s="1163"/>
      <c r="E162" s="1163"/>
      <c r="F162" s="1163"/>
      <c r="G162" s="1163"/>
      <c r="H162" s="1163"/>
    </row>
    <row r="163" spans="1:8" s="1146" customFormat="1" ht="13.5" customHeight="1" x14ac:dyDescent="0.25">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25">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25">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25">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25">
      <c r="A167" s="1157" t="s">
        <v>1067</v>
      </c>
      <c r="B167" s="1157">
        <v>45</v>
      </c>
      <c r="C167" s="1161">
        <v>0.84</v>
      </c>
      <c r="D167" s="1162">
        <v>4.7E-2</v>
      </c>
      <c r="E167" s="1157">
        <v>2</v>
      </c>
      <c r="F167" s="1157">
        <v>5</v>
      </c>
      <c r="G167" s="1157">
        <v>0.06</v>
      </c>
      <c r="H167" s="1157">
        <v>6.4000000000000001E-2</v>
      </c>
    </row>
    <row r="168" spans="1:8" s="1146" customFormat="1" ht="13.5" customHeight="1" x14ac:dyDescent="0.25">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25">
      <c r="A169" s="1157" t="s">
        <v>1069</v>
      </c>
      <c r="B169" s="1157">
        <v>25</v>
      </c>
      <c r="C169" s="1161">
        <v>0.84</v>
      </c>
      <c r="D169" s="1162">
        <v>0.04</v>
      </c>
      <c r="E169" s="1157">
        <v>2</v>
      </c>
      <c r="F169" s="1157">
        <v>5</v>
      </c>
      <c r="G169" s="1157">
        <v>4.2999999999999997E-2</v>
      </c>
      <c r="H169" s="1157">
        <v>0.05</v>
      </c>
    </row>
    <row r="170" spans="1:8" s="1146" customFormat="1" ht="13.5" customHeight="1" x14ac:dyDescent="0.25">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25">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25">
      <c r="A172" s="1161" t="s">
        <v>1019</v>
      </c>
      <c r="B172" s="1157">
        <v>11</v>
      </c>
      <c r="C172" s="1161">
        <v>0.84</v>
      </c>
      <c r="D172" s="1162">
        <v>4.8000000000000001E-2</v>
      </c>
      <c r="E172" s="1157">
        <v>2</v>
      </c>
      <c r="F172" s="1157">
        <v>5</v>
      </c>
      <c r="G172" s="1157">
        <v>0.05</v>
      </c>
      <c r="H172" s="1157">
        <v>5.5E-2</v>
      </c>
    </row>
    <row r="173" spans="1:8" s="1146" customFormat="1" ht="13.5" customHeight="1" x14ac:dyDescent="0.25">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25">
      <c r="A174" s="1157" t="s">
        <v>1022</v>
      </c>
      <c r="B174" s="1157">
        <v>75</v>
      </c>
      <c r="C174" s="1161">
        <v>0.84</v>
      </c>
      <c r="D174" s="1162">
        <v>0.04</v>
      </c>
      <c r="E174" s="1157">
        <v>2</v>
      </c>
      <c r="F174" s="1157">
        <v>5</v>
      </c>
      <c r="G174" s="1157">
        <v>4.2000000000000003E-2</v>
      </c>
      <c r="H174" s="1157">
        <v>4.7E-2</v>
      </c>
    </row>
    <row r="175" spans="1:8" s="1146" customFormat="1" ht="13.5" customHeight="1" x14ac:dyDescent="0.25">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25">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25">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25">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25">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25">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25">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25">
      <c r="A182" s="1157" t="s">
        <v>1071</v>
      </c>
      <c r="B182" s="1157">
        <v>400</v>
      </c>
      <c r="C182" s="1161">
        <v>0.84</v>
      </c>
      <c r="D182" s="1162">
        <v>0.11</v>
      </c>
      <c r="E182" s="1157">
        <v>1</v>
      </c>
      <c r="F182" s="1157">
        <v>2</v>
      </c>
      <c r="G182" s="1157">
        <v>0.12</v>
      </c>
      <c r="H182" s="1157">
        <v>0.14000000000000001</v>
      </c>
    </row>
    <row r="183" spans="1:8" s="1146" customFormat="1" ht="13.5" customHeight="1" x14ac:dyDescent="0.25">
      <c r="A183" s="1157" t="s">
        <v>1022</v>
      </c>
      <c r="B183" s="1157">
        <v>300</v>
      </c>
      <c r="C183" s="1161">
        <v>0.84</v>
      </c>
      <c r="D183" s="1162">
        <v>0.09</v>
      </c>
      <c r="E183" s="1157">
        <v>1</v>
      </c>
      <c r="F183" s="1157">
        <v>2</v>
      </c>
      <c r="G183" s="1157">
        <v>0.11</v>
      </c>
      <c r="H183" s="1157">
        <v>0.12</v>
      </c>
    </row>
    <row r="184" spans="1:8" s="1146" customFormat="1" ht="13.5" customHeight="1" x14ac:dyDescent="0.25">
      <c r="A184" s="1161" t="s">
        <v>1019</v>
      </c>
      <c r="B184" s="1157">
        <v>200</v>
      </c>
      <c r="C184" s="1161">
        <v>0.84</v>
      </c>
      <c r="D184" s="1162">
        <v>7.0000000000000007E-2</v>
      </c>
      <c r="E184" s="1157">
        <v>1</v>
      </c>
      <c r="F184" s="1157">
        <v>2</v>
      </c>
      <c r="G184" s="1157">
        <v>0.08</v>
      </c>
      <c r="H184" s="1157">
        <v>0.09</v>
      </c>
    </row>
    <row r="185" spans="1:8" s="1146" customFormat="1" ht="13.5" customHeight="1" x14ac:dyDescent="0.25">
      <c r="A185" s="1861" t="s">
        <v>1072</v>
      </c>
      <c r="B185" s="1861"/>
      <c r="C185" s="1861"/>
      <c r="D185" s="1861"/>
      <c r="E185" s="1861"/>
      <c r="F185" s="1861"/>
      <c r="G185" s="1861"/>
      <c r="H185" s="1861"/>
    </row>
    <row r="186" spans="1:8" s="1146" customFormat="1" ht="13.5" customHeight="1" x14ac:dyDescent="0.25">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25">
      <c r="A187" s="1157" t="s">
        <v>1022</v>
      </c>
      <c r="B187" s="1157">
        <v>800</v>
      </c>
      <c r="C187" s="1161">
        <v>2.2999999999999998</v>
      </c>
      <c r="D187" s="1162">
        <v>0.13</v>
      </c>
      <c r="E187" s="1157">
        <v>10</v>
      </c>
      <c r="F187" s="1157">
        <v>12</v>
      </c>
      <c r="G187" s="1157">
        <v>0.19</v>
      </c>
      <c r="H187" s="1157">
        <v>0.23</v>
      </c>
    </row>
    <row r="188" spans="1:8" s="1146" customFormat="1" ht="13.5" customHeight="1" x14ac:dyDescent="0.25">
      <c r="A188" s="1161" t="s">
        <v>1019</v>
      </c>
      <c r="B188" s="1157">
        <v>600</v>
      </c>
      <c r="C188" s="1161">
        <v>2.2999999999999998</v>
      </c>
      <c r="D188" s="1162">
        <v>0.11</v>
      </c>
      <c r="E188" s="1157">
        <v>10</v>
      </c>
      <c r="F188" s="1157">
        <v>12</v>
      </c>
      <c r="G188" s="1157">
        <v>0.13</v>
      </c>
      <c r="H188" s="1157">
        <v>0.16</v>
      </c>
    </row>
    <row r="189" spans="1:8" s="1146" customFormat="1" ht="13.5" customHeight="1" x14ac:dyDescent="0.25">
      <c r="A189" s="1161" t="s">
        <v>1019</v>
      </c>
      <c r="B189" s="1157">
        <v>400</v>
      </c>
      <c r="C189" s="1161">
        <v>2.2999999999999998</v>
      </c>
      <c r="D189" s="1162">
        <v>0.08</v>
      </c>
      <c r="E189" s="1157">
        <v>10</v>
      </c>
      <c r="F189" s="1157">
        <v>12</v>
      </c>
      <c r="G189" s="1157">
        <v>0.11</v>
      </c>
      <c r="H189" s="1157">
        <v>0.13</v>
      </c>
    </row>
    <row r="190" spans="1:8" s="1146" customFormat="1" ht="13.5" customHeight="1" x14ac:dyDescent="0.25">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25">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25">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25">
      <c r="A193" s="1161" t="s">
        <v>1019</v>
      </c>
      <c r="B193" s="1157">
        <v>400</v>
      </c>
      <c r="C193" s="1161">
        <v>2.2999999999999998</v>
      </c>
      <c r="D193" s="1162">
        <v>0.08</v>
      </c>
      <c r="E193" s="1157">
        <v>10</v>
      </c>
      <c r="F193" s="1157">
        <v>15</v>
      </c>
      <c r="G193" s="1157">
        <v>0.13</v>
      </c>
      <c r="H193" s="1157">
        <v>0.16</v>
      </c>
    </row>
    <row r="194" spans="1:8" s="1146" customFormat="1" ht="13.5" customHeight="1" x14ac:dyDescent="0.25">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25">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25">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25">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25">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25">
      <c r="A199" s="1157" t="s">
        <v>1079</v>
      </c>
      <c r="B199" s="1157">
        <v>1350</v>
      </c>
      <c r="C199" s="1161">
        <v>0.84</v>
      </c>
      <c r="D199" s="1162">
        <v>0.35</v>
      </c>
      <c r="E199" s="1157">
        <v>4</v>
      </c>
      <c r="F199" s="1157">
        <v>6</v>
      </c>
      <c r="G199" s="1157">
        <v>0.5</v>
      </c>
      <c r="H199" s="1157">
        <v>0.56000000000000005</v>
      </c>
    </row>
    <row r="200" spans="1:8" s="1146" customFormat="1" ht="13.5" customHeight="1" x14ac:dyDescent="0.25">
      <c r="A200" s="1157" t="s">
        <v>1022</v>
      </c>
      <c r="B200" s="1157">
        <v>1100</v>
      </c>
      <c r="C200" s="1161">
        <v>0.84</v>
      </c>
      <c r="D200" s="1162">
        <v>0.23</v>
      </c>
      <c r="E200" s="1157">
        <v>4</v>
      </c>
      <c r="F200" s="1157">
        <v>6</v>
      </c>
      <c r="G200" s="1157">
        <v>0.35</v>
      </c>
      <c r="H200" s="1157">
        <v>0.41</v>
      </c>
    </row>
    <row r="201" spans="1:8" s="1146" customFormat="1" ht="13.5" customHeight="1" x14ac:dyDescent="0.25">
      <c r="A201" s="1157" t="s">
        <v>1080</v>
      </c>
      <c r="B201" s="1157">
        <v>1050</v>
      </c>
      <c r="C201" s="1161">
        <v>0.84</v>
      </c>
      <c r="D201" s="1162">
        <v>0.15</v>
      </c>
      <c r="E201" s="1157">
        <v>4</v>
      </c>
      <c r="F201" s="1157">
        <v>6</v>
      </c>
      <c r="G201" s="1157">
        <v>0.34</v>
      </c>
      <c r="H201" s="1157">
        <v>0.36</v>
      </c>
    </row>
    <row r="202" spans="1:8" s="1146" customFormat="1" ht="13.5" customHeight="1" x14ac:dyDescent="0.25">
      <c r="A202" s="1157" t="s">
        <v>1022</v>
      </c>
      <c r="B202" s="1157">
        <v>800</v>
      </c>
      <c r="C202" s="1161">
        <v>0.84</v>
      </c>
      <c r="D202" s="1162">
        <v>0.15</v>
      </c>
      <c r="E202" s="1157">
        <v>4</v>
      </c>
      <c r="F202" s="1157">
        <v>6</v>
      </c>
      <c r="G202" s="1157">
        <v>0.19</v>
      </c>
      <c r="H202" s="1157">
        <v>0.21</v>
      </c>
    </row>
    <row r="203" spans="1:8" s="1146" customFormat="1" ht="13.5" customHeight="1" x14ac:dyDescent="0.25">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25">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25">
      <c r="A205" s="1163"/>
      <c r="B205" s="1163"/>
      <c r="C205" s="1163"/>
      <c r="D205" s="1163"/>
      <c r="E205" s="1163"/>
      <c r="F205" s="1163"/>
      <c r="G205" s="1163"/>
      <c r="H205" s="1163"/>
    </row>
    <row r="206" spans="1:8" s="1146" customFormat="1" ht="13.5" customHeight="1" x14ac:dyDescent="0.25">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25">
      <c r="A207" s="1161" t="s">
        <v>1019</v>
      </c>
      <c r="B207" s="1157">
        <v>200</v>
      </c>
      <c r="C207" s="1161">
        <v>1.68</v>
      </c>
      <c r="D207" s="1162">
        <v>7.5999999999999998E-2</v>
      </c>
      <c r="E207" s="1157">
        <v>1</v>
      </c>
      <c r="F207" s="1157">
        <v>2</v>
      </c>
      <c r="G207" s="1157">
        <v>7.8E-2</v>
      </c>
      <c r="H207" s="1157">
        <v>0.09</v>
      </c>
    </row>
    <row r="208" spans="1:8" s="1146" customFormat="1" ht="13.5" customHeight="1" x14ac:dyDescent="0.25">
      <c r="A208" s="1861" t="s">
        <v>1082</v>
      </c>
      <c r="B208" s="1861"/>
      <c r="C208" s="1861"/>
      <c r="D208" s="1861"/>
      <c r="E208" s="1861"/>
      <c r="F208" s="1861"/>
      <c r="G208" s="1861"/>
      <c r="H208" s="1861"/>
    </row>
    <row r="209" spans="1:8" s="1146" customFormat="1" ht="13.5" customHeight="1" x14ac:dyDescent="0.25">
      <c r="A209" s="1157" t="s">
        <v>1083</v>
      </c>
      <c r="B209" s="1157">
        <v>600</v>
      </c>
      <c r="C209" s="1161">
        <v>0.84</v>
      </c>
      <c r="D209" s="1162">
        <v>0.14000000000000001</v>
      </c>
      <c r="E209" s="1157">
        <v>2</v>
      </c>
      <c r="F209" s="1157">
        <v>3</v>
      </c>
      <c r="G209" s="1157">
        <v>0.17</v>
      </c>
      <c r="H209" s="1157">
        <v>0.19</v>
      </c>
    </row>
    <row r="210" spans="1:8" s="1146" customFormat="1" ht="13.5" customHeight="1" x14ac:dyDescent="0.25">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25">
      <c r="A211" s="1161" t="s">
        <v>1019</v>
      </c>
      <c r="B211" s="1157">
        <v>450</v>
      </c>
      <c r="C211" s="1161">
        <v>0.84</v>
      </c>
      <c r="D211" s="1162">
        <v>0.13</v>
      </c>
      <c r="E211" s="1157">
        <v>2</v>
      </c>
      <c r="F211" s="1157">
        <v>3</v>
      </c>
      <c r="G211" s="1157">
        <v>0.14000000000000001</v>
      </c>
      <c r="H211" s="1157">
        <v>0.155</v>
      </c>
    </row>
    <row r="212" spans="1:8" s="1146" customFormat="1" ht="13.5" customHeight="1" x14ac:dyDescent="0.25">
      <c r="A212" s="1161" t="s">
        <v>1019</v>
      </c>
      <c r="B212" s="1157">
        <v>400</v>
      </c>
      <c r="C212" s="1161">
        <v>0.84</v>
      </c>
      <c r="D212" s="1162">
        <v>0.12</v>
      </c>
      <c r="E212" s="1157">
        <v>2</v>
      </c>
      <c r="F212" s="1157">
        <v>3</v>
      </c>
      <c r="G212" s="1157">
        <v>0.13</v>
      </c>
      <c r="H212" s="1157">
        <v>0.14499999999999999</v>
      </c>
    </row>
    <row r="213" spans="1:8" s="1146" customFormat="1" ht="13.5" customHeight="1" x14ac:dyDescent="0.25">
      <c r="A213" s="1161" t="s">
        <v>1019</v>
      </c>
      <c r="B213" s="1164">
        <v>350</v>
      </c>
      <c r="C213" s="1161">
        <v>0.84</v>
      </c>
      <c r="D213" s="1162">
        <v>0.115</v>
      </c>
      <c r="E213" s="1157">
        <v>2</v>
      </c>
      <c r="F213" s="1157">
        <v>3</v>
      </c>
      <c r="G213" s="1157">
        <v>0.125</v>
      </c>
      <c r="H213" s="1157">
        <v>0.14000000000000001</v>
      </c>
    </row>
    <row r="214" spans="1:8" s="1146" customFormat="1" ht="13.5" customHeight="1" x14ac:dyDescent="0.25">
      <c r="A214" s="1161" t="s">
        <v>1019</v>
      </c>
      <c r="B214" s="1164">
        <v>300</v>
      </c>
      <c r="C214" s="1161">
        <v>0.84</v>
      </c>
      <c r="D214" s="1162">
        <v>0.108</v>
      </c>
      <c r="E214" s="1157">
        <v>2</v>
      </c>
      <c r="F214" s="1157">
        <v>3</v>
      </c>
      <c r="G214" s="1157">
        <v>0.12</v>
      </c>
      <c r="H214" s="1157">
        <v>0.13</v>
      </c>
    </row>
    <row r="215" spans="1:8" s="1146" customFormat="1" ht="13.5" customHeight="1" x14ac:dyDescent="0.25">
      <c r="A215" s="1157" t="s">
        <v>1083</v>
      </c>
      <c r="B215" s="1157">
        <v>250</v>
      </c>
      <c r="C215" s="1161">
        <v>0.84</v>
      </c>
      <c r="D215" s="1162">
        <v>9.9000000000000005E-2</v>
      </c>
      <c r="E215" s="1157">
        <v>2</v>
      </c>
      <c r="F215" s="1157">
        <v>3</v>
      </c>
      <c r="G215" s="1157">
        <v>0.11</v>
      </c>
      <c r="H215" s="1157">
        <v>0.12</v>
      </c>
    </row>
    <row r="216" spans="1:8" s="1146" customFormat="1" ht="13.5" customHeight="1" x14ac:dyDescent="0.25">
      <c r="A216" s="1157" t="s">
        <v>1084</v>
      </c>
      <c r="B216" s="1164">
        <v>700</v>
      </c>
      <c r="C216" s="1161">
        <v>0.84</v>
      </c>
      <c r="D216" s="1162">
        <v>0.16</v>
      </c>
      <c r="E216" s="1157">
        <v>2</v>
      </c>
      <c r="F216" s="1157">
        <v>4</v>
      </c>
      <c r="G216" s="1157">
        <v>0.18</v>
      </c>
      <c r="H216" s="1157">
        <v>0.21</v>
      </c>
    </row>
    <row r="217" spans="1:8" s="1146" customFormat="1" ht="13.5" customHeight="1" x14ac:dyDescent="0.25">
      <c r="A217" s="1157" t="s">
        <v>1022</v>
      </c>
      <c r="B217" s="1157">
        <v>600</v>
      </c>
      <c r="C217" s="1161">
        <v>0.84</v>
      </c>
      <c r="D217" s="1162">
        <v>0.13</v>
      </c>
      <c r="E217" s="1157">
        <v>2</v>
      </c>
      <c r="F217" s="1157">
        <v>4</v>
      </c>
      <c r="G217" s="1157">
        <v>0.16</v>
      </c>
      <c r="H217" s="1157">
        <v>0.19</v>
      </c>
    </row>
    <row r="218" spans="1:8" s="1146" customFormat="1" ht="13.5" customHeight="1" x14ac:dyDescent="0.25">
      <c r="A218" s="1161" t="s">
        <v>1019</v>
      </c>
      <c r="B218" s="1164">
        <v>500</v>
      </c>
      <c r="C218" s="1161">
        <v>0.84</v>
      </c>
      <c r="D218" s="1162">
        <v>0.12</v>
      </c>
      <c r="E218" s="1157">
        <v>2</v>
      </c>
      <c r="F218" s="1157">
        <v>4</v>
      </c>
      <c r="G218" s="1157">
        <v>0.15</v>
      </c>
      <c r="H218" s="1157">
        <v>0.17499999999999999</v>
      </c>
    </row>
    <row r="219" spans="1:8" s="1146" customFormat="1" ht="13.5" customHeight="1" x14ac:dyDescent="0.25">
      <c r="A219" s="1161" t="s">
        <v>1019</v>
      </c>
      <c r="B219" s="1157">
        <v>450</v>
      </c>
      <c r="C219" s="1161">
        <v>0.84</v>
      </c>
      <c r="D219" s="1162">
        <v>0.11</v>
      </c>
      <c r="E219" s="1157">
        <v>2</v>
      </c>
      <c r="F219" s="1157">
        <v>4</v>
      </c>
      <c r="G219" s="1157">
        <v>0.14000000000000001</v>
      </c>
      <c r="H219" s="1157">
        <v>0.16</v>
      </c>
    </row>
    <row r="220" spans="1:8" s="1146" customFormat="1" ht="13.5" customHeight="1" x14ac:dyDescent="0.25">
      <c r="A220" s="1161" t="s">
        <v>1019</v>
      </c>
      <c r="B220" s="1157">
        <v>400</v>
      </c>
      <c r="C220" s="1161">
        <v>0.84</v>
      </c>
      <c r="D220" s="1162">
        <v>0.11</v>
      </c>
      <c r="E220" s="1157">
        <v>2</v>
      </c>
      <c r="F220" s="1157">
        <v>4</v>
      </c>
      <c r="G220" s="1157">
        <v>0.13</v>
      </c>
      <c r="H220" s="1157">
        <v>0.15</v>
      </c>
    </row>
    <row r="221" spans="1:8" s="1146" customFormat="1" ht="13.5" customHeight="1" x14ac:dyDescent="0.25">
      <c r="A221" s="1157" t="s">
        <v>1085</v>
      </c>
      <c r="B221" s="1157">
        <v>1000</v>
      </c>
      <c r="C221" s="1161">
        <v>0.84</v>
      </c>
      <c r="D221" s="1162">
        <v>0.21</v>
      </c>
      <c r="E221" s="1157">
        <v>2</v>
      </c>
      <c r="F221" s="1157">
        <v>3</v>
      </c>
      <c r="G221" s="1157">
        <v>0.24</v>
      </c>
      <c r="H221" s="1157">
        <v>0.31</v>
      </c>
    </row>
    <row r="222" spans="1:8" s="1146" customFormat="1" ht="13.5" customHeight="1" x14ac:dyDescent="0.25">
      <c r="A222" s="1157" t="s">
        <v>1086</v>
      </c>
      <c r="B222" s="1164">
        <v>900</v>
      </c>
      <c r="C222" s="1161">
        <v>0.84</v>
      </c>
      <c r="D222" s="1162">
        <v>0.19</v>
      </c>
      <c r="E222" s="1157">
        <v>2</v>
      </c>
      <c r="F222" s="1157">
        <v>3</v>
      </c>
      <c r="G222" s="1157">
        <v>0.23</v>
      </c>
      <c r="H222" s="1157">
        <v>0.3</v>
      </c>
    </row>
    <row r="223" spans="1:8" s="1146" customFormat="1" ht="13.5" customHeight="1" x14ac:dyDescent="0.25">
      <c r="A223" s="1157" t="s">
        <v>1022</v>
      </c>
      <c r="B223" s="1164">
        <v>800</v>
      </c>
      <c r="C223" s="1161">
        <v>0.84</v>
      </c>
      <c r="D223" s="1162">
        <v>0.18</v>
      </c>
      <c r="E223" s="1157">
        <v>2</v>
      </c>
      <c r="F223" s="1157">
        <v>3</v>
      </c>
      <c r="G223" s="1157">
        <v>0.21</v>
      </c>
      <c r="H223" s="1157">
        <v>0.26</v>
      </c>
    </row>
    <row r="224" spans="1:8" s="1146" customFormat="1" ht="13.5" customHeight="1" x14ac:dyDescent="0.25">
      <c r="A224" s="1161" t="s">
        <v>1019</v>
      </c>
      <c r="B224" s="1157">
        <v>700</v>
      </c>
      <c r="C224" s="1161">
        <v>0.84</v>
      </c>
      <c r="D224" s="1162">
        <v>0.16</v>
      </c>
      <c r="E224" s="1157">
        <v>2</v>
      </c>
      <c r="F224" s="1157">
        <v>3</v>
      </c>
      <c r="G224" s="1157">
        <v>0.19</v>
      </c>
      <c r="H224" s="1157">
        <v>0.23</v>
      </c>
    </row>
    <row r="225" spans="1:8" s="1146" customFormat="1" ht="13.5" customHeight="1" x14ac:dyDescent="0.25">
      <c r="A225" s="1161" t="s">
        <v>1019</v>
      </c>
      <c r="B225" s="1157">
        <v>600</v>
      </c>
      <c r="C225" s="1161">
        <v>0.84</v>
      </c>
      <c r="D225" s="1162">
        <v>0.15</v>
      </c>
      <c r="E225" s="1157">
        <v>2</v>
      </c>
      <c r="F225" s="1157">
        <v>3</v>
      </c>
      <c r="G225" s="1157">
        <v>0.18</v>
      </c>
      <c r="H225" s="1157">
        <v>0.21</v>
      </c>
    </row>
    <row r="226" spans="1:8" s="1146" customFormat="1" ht="13.5" customHeight="1" x14ac:dyDescent="0.25">
      <c r="A226" s="1161" t="s">
        <v>1019</v>
      </c>
      <c r="B226" s="1164">
        <v>500</v>
      </c>
      <c r="C226" s="1161">
        <v>0.84</v>
      </c>
      <c r="D226" s="1162">
        <v>0.14000000000000001</v>
      </c>
      <c r="E226" s="1157">
        <v>2</v>
      </c>
      <c r="F226" s="1157">
        <v>3</v>
      </c>
      <c r="G226" s="1157">
        <v>0.16</v>
      </c>
      <c r="H226" s="1157">
        <v>0.19</v>
      </c>
    </row>
    <row r="227" spans="1:8" s="1146" customFormat="1" ht="13.5" customHeight="1" x14ac:dyDescent="0.25">
      <c r="A227" s="1161" t="s">
        <v>1019</v>
      </c>
      <c r="B227" s="1157">
        <v>450</v>
      </c>
      <c r="C227" s="1161">
        <v>0.84</v>
      </c>
      <c r="D227" s="1162">
        <v>0.13</v>
      </c>
      <c r="E227" s="1157">
        <v>2</v>
      </c>
      <c r="F227" s="1157">
        <v>3</v>
      </c>
      <c r="G227" s="1157">
        <v>0.15</v>
      </c>
      <c r="H227" s="1157">
        <v>0.17</v>
      </c>
    </row>
    <row r="228" spans="1:8" s="1146" customFormat="1" ht="13.5" customHeight="1" x14ac:dyDescent="0.25">
      <c r="A228" s="1161" t="s">
        <v>1019</v>
      </c>
      <c r="B228" s="1157">
        <v>400</v>
      </c>
      <c r="C228" s="1161">
        <v>0.84</v>
      </c>
      <c r="D228" s="1162">
        <v>0.122</v>
      </c>
      <c r="E228" s="1157">
        <v>2</v>
      </c>
      <c r="F228" s="1157">
        <v>3</v>
      </c>
      <c r="G228" s="1157">
        <v>0.14000000000000001</v>
      </c>
      <c r="H228" s="1157">
        <v>0.16</v>
      </c>
    </row>
    <row r="229" spans="1:8" s="1146" customFormat="1" ht="13.5" customHeight="1" x14ac:dyDescent="0.25">
      <c r="A229" s="1157" t="s">
        <v>1087</v>
      </c>
      <c r="B229" s="1164">
        <v>500</v>
      </c>
      <c r="C229" s="1161">
        <v>0.84</v>
      </c>
      <c r="D229" s="1162">
        <v>0.09</v>
      </c>
      <c r="E229" s="1157">
        <v>1</v>
      </c>
      <c r="F229" s="1157">
        <v>2</v>
      </c>
      <c r="G229" s="1157">
        <v>0.1</v>
      </c>
      <c r="H229" s="1157">
        <v>0.11</v>
      </c>
    </row>
    <row r="230" spans="1:8" s="1146" customFormat="1" ht="13.5" customHeight="1" x14ac:dyDescent="0.25">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25">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25">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25">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25">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25">
      <c r="A235" s="1161" t="s">
        <v>1019</v>
      </c>
      <c r="B235" s="1164">
        <v>100</v>
      </c>
      <c r="C235" s="1161">
        <v>0.84</v>
      </c>
      <c r="D235" s="1162">
        <v>5.5E-2</v>
      </c>
      <c r="E235" s="1157">
        <v>1</v>
      </c>
      <c r="F235" s="1157">
        <v>3</v>
      </c>
      <c r="G235" s="1157">
        <v>6.7000000000000004E-2</v>
      </c>
      <c r="H235" s="1157">
        <v>0.08</v>
      </c>
    </row>
    <row r="236" spans="1:8" s="1146" customFormat="1" ht="13.5" customHeight="1" x14ac:dyDescent="0.25">
      <c r="A236" s="1157" t="s">
        <v>1089</v>
      </c>
      <c r="B236" s="1157">
        <v>1600</v>
      </c>
      <c r="C236" s="1161">
        <v>0.84</v>
      </c>
      <c r="D236" s="1162">
        <v>0.35</v>
      </c>
      <c r="E236" s="1157">
        <v>1</v>
      </c>
      <c r="F236" s="1157">
        <v>2</v>
      </c>
      <c r="G236" s="1157">
        <v>0.47</v>
      </c>
      <c r="H236" s="1157">
        <v>0.57999999999999996</v>
      </c>
    </row>
    <row r="237" spans="1:8" s="1146" customFormat="1" ht="13.5" customHeight="1" x14ac:dyDescent="0.25">
      <c r="A237" s="1861" t="s">
        <v>1090</v>
      </c>
      <c r="B237" s="1861"/>
      <c r="C237" s="1861"/>
      <c r="D237" s="1861"/>
      <c r="E237" s="1861"/>
      <c r="F237" s="1861"/>
      <c r="G237" s="1861"/>
      <c r="H237" s="1861"/>
    </row>
    <row r="238" spans="1:8" s="1146" customFormat="1" ht="13.5" customHeight="1" x14ac:dyDescent="0.25">
      <c r="A238" s="1157" t="s">
        <v>1091</v>
      </c>
      <c r="B238" s="1157">
        <v>1400</v>
      </c>
      <c r="C238" s="1161">
        <v>0.84</v>
      </c>
      <c r="D238" s="1162">
        <v>0.41</v>
      </c>
      <c r="E238" s="1157">
        <v>2</v>
      </c>
      <c r="F238" s="1157">
        <v>4</v>
      </c>
      <c r="G238" s="1157">
        <v>0.52</v>
      </c>
      <c r="H238" s="1157">
        <v>0.64</v>
      </c>
    </row>
    <row r="239" spans="1:8" s="1146" customFormat="1" ht="13.5" customHeight="1" x14ac:dyDescent="0.25">
      <c r="A239" s="1157" t="s">
        <v>1022</v>
      </c>
      <c r="B239" s="1157">
        <v>1200</v>
      </c>
      <c r="C239" s="1161">
        <v>0.84</v>
      </c>
      <c r="D239" s="1162">
        <v>0.35</v>
      </c>
      <c r="E239" s="1157">
        <v>2</v>
      </c>
      <c r="F239" s="1157">
        <v>4</v>
      </c>
      <c r="G239" s="1157">
        <v>0.47</v>
      </c>
      <c r="H239" s="1157">
        <v>0.57999999999999996</v>
      </c>
    </row>
    <row r="240" spans="1:8" s="1146" customFormat="1" ht="13.5" customHeight="1" x14ac:dyDescent="0.25">
      <c r="A240" s="1157" t="s">
        <v>1092</v>
      </c>
      <c r="B240" s="1157">
        <v>1000</v>
      </c>
      <c r="C240" s="1161">
        <v>0.84</v>
      </c>
      <c r="D240" s="1162">
        <v>0.21</v>
      </c>
      <c r="E240" s="1157">
        <v>7</v>
      </c>
      <c r="F240" s="1157">
        <v>12</v>
      </c>
      <c r="G240" s="1157">
        <v>0.26</v>
      </c>
      <c r="H240" s="1157">
        <v>0.3</v>
      </c>
    </row>
    <row r="241" spans="1:8" s="1146" customFormat="1" ht="13.5" customHeight="1" x14ac:dyDescent="0.25">
      <c r="A241" s="1157" t="s">
        <v>1022</v>
      </c>
      <c r="B241" s="1164">
        <v>800</v>
      </c>
      <c r="C241" s="1161">
        <v>0.84</v>
      </c>
      <c r="D241" s="1162">
        <v>0.16</v>
      </c>
      <c r="E241" s="1157">
        <v>7</v>
      </c>
      <c r="F241" s="1157">
        <v>12</v>
      </c>
      <c r="G241" s="1157">
        <v>0.21</v>
      </c>
      <c r="H241" s="1157">
        <v>0.26</v>
      </c>
    </row>
    <row r="242" spans="1:8" s="1146" customFormat="1" ht="13.5" customHeight="1" x14ac:dyDescent="0.25">
      <c r="A242" s="1157" t="s">
        <v>1093</v>
      </c>
      <c r="B242" s="1157">
        <v>600</v>
      </c>
      <c r="C242" s="1161">
        <v>0.84</v>
      </c>
      <c r="D242" s="1162">
        <v>0.14000000000000001</v>
      </c>
      <c r="E242" s="1157">
        <v>10</v>
      </c>
      <c r="F242" s="1157">
        <v>15</v>
      </c>
      <c r="G242" s="1157">
        <v>0.19</v>
      </c>
      <c r="H242" s="1157">
        <v>0.23</v>
      </c>
    </row>
    <row r="243" spans="1:8" s="1146" customFormat="1" ht="13.5" customHeight="1" x14ac:dyDescent="0.25">
      <c r="A243" s="1157" t="s">
        <v>1094</v>
      </c>
      <c r="B243" s="1164">
        <v>500</v>
      </c>
      <c r="C243" s="1161">
        <v>0.84</v>
      </c>
      <c r="D243" s="1162">
        <v>0.12</v>
      </c>
      <c r="E243" s="1157">
        <v>6</v>
      </c>
      <c r="F243" s="1157">
        <v>10</v>
      </c>
      <c r="G243" s="1157">
        <v>0.15</v>
      </c>
      <c r="H243" s="1157">
        <v>0.19</v>
      </c>
    </row>
    <row r="244" spans="1:8" s="1146" customFormat="1" ht="13.5" customHeight="1" x14ac:dyDescent="0.25">
      <c r="A244" s="1157" t="s">
        <v>1022</v>
      </c>
      <c r="B244" s="1157">
        <v>400</v>
      </c>
      <c r="C244" s="1161">
        <v>0.84</v>
      </c>
      <c r="D244" s="1162">
        <v>0.09</v>
      </c>
      <c r="E244" s="1157">
        <v>6</v>
      </c>
      <c r="F244" s="1157">
        <v>10</v>
      </c>
      <c r="G244" s="1157">
        <v>0.13</v>
      </c>
      <c r="H244" s="1157">
        <v>0.15</v>
      </c>
    </row>
    <row r="245" spans="1:8" s="1146" customFormat="1" ht="13.5" customHeight="1" x14ac:dyDescent="0.25">
      <c r="A245" s="1862" t="s">
        <v>1095</v>
      </c>
      <c r="B245" s="1862"/>
      <c r="C245" s="1862"/>
      <c r="D245" s="1862"/>
      <c r="E245" s="1862"/>
      <c r="F245" s="1862"/>
      <c r="G245" s="1862"/>
      <c r="H245" s="1862"/>
    </row>
    <row r="246" spans="1:8" s="1146" customFormat="1" ht="13.5" customHeight="1" x14ac:dyDescent="0.25">
      <c r="A246" s="1865" t="s">
        <v>1096</v>
      </c>
      <c r="B246" s="1865"/>
      <c r="C246" s="1865"/>
      <c r="D246" s="1865"/>
      <c r="E246" s="1865"/>
      <c r="F246" s="1865"/>
      <c r="G246" s="1865"/>
      <c r="H246" s="1865"/>
    </row>
    <row r="247" spans="1:8" s="1146" customFormat="1" ht="13.5" customHeight="1" x14ac:dyDescent="0.25">
      <c r="A247" s="1157" t="s">
        <v>1097</v>
      </c>
      <c r="B247" s="1157">
        <v>1800</v>
      </c>
      <c r="C247" s="1161">
        <v>0.84</v>
      </c>
      <c r="D247" s="1162">
        <v>0.64</v>
      </c>
      <c r="E247" s="1157">
        <v>7</v>
      </c>
      <c r="F247" s="1157">
        <v>10</v>
      </c>
      <c r="G247" s="1157">
        <v>0.87</v>
      </c>
      <c r="H247" s="1157">
        <v>0.99</v>
      </c>
    </row>
    <row r="248" spans="1:8" s="1146" customFormat="1" ht="13.5" customHeight="1" x14ac:dyDescent="0.25">
      <c r="A248" s="1165" t="s">
        <v>1019</v>
      </c>
      <c r="B248" s="1157">
        <v>1600</v>
      </c>
      <c r="C248" s="1161">
        <v>0.84</v>
      </c>
      <c r="D248" s="1162">
        <v>0.52</v>
      </c>
      <c r="E248" s="1157">
        <v>7</v>
      </c>
      <c r="F248" s="1157">
        <v>10</v>
      </c>
      <c r="G248" s="1157">
        <v>0.7</v>
      </c>
      <c r="H248" s="1157">
        <v>0.81</v>
      </c>
    </row>
    <row r="249" spans="1:8" s="1146" customFormat="1" ht="13.5" customHeight="1" x14ac:dyDescent="0.25">
      <c r="A249" s="1165" t="s">
        <v>1019</v>
      </c>
      <c r="B249" s="1157">
        <v>1400</v>
      </c>
      <c r="C249" s="1161">
        <v>0.84</v>
      </c>
      <c r="D249" s="1162">
        <v>0.41</v>
      </c>
      <c r="E249" s="1157">
        <v>7</v>
      </c>
      <c r="F249" s="1157">
        <v>10</v>
      </c>
      <c r="G249" s="1157">
        <v>0.52</v>
      </c>
      <c r="H249" s="1157">
        <v>0.57999999999999996</v>
      </c>
    </row>
    <row r="250" spans="1:8" s="1146" customFormat="1" ht="13.5" customHeight="1" x14ac:dyDescent="0.25">
      <c r="A250" s="1165" t="s">
        <v>1019</v>
      </c>
      <c r="B250" s="1157">
        <v>1200</v>
      </c>
      <c r="C250" s="1161">
        <v>0.84</v>
      </c>
      <c r="D250" s="1162">
        <v>0.28999999999999998</v>
      </c>
      <c r="E250" s="1157">
        <v>7</v>
      </c>
      <c r="F250" s="1157">
        <v>10</v>
      </c>
      <c r="G250" s="1157">
        <v>0.41</v>
      </c>
      <c r="H250" s="1157">
        <v>0.47</v>
      </c>
    </row>
    <row r="251" spans="1:8" s="1146" customFormat="1" ht="13.5" customHeight="1" x14ac:dyDescent="0.25">
      <c r="A251" s="1157" t="s">
        <v>1098</v>
      </c>
      <c r="B251" s="1157">
        <v>1600</v>
      </c>
      <c r="C251" s="1161">
        <v>0.84</v>
      </c>
      <c r="D251" s="1162">
        <v>0.52</v>
      </c>
      <c r="E251" s="1157">
        <v>4</v>
      </c>
      <c r="F251" s="1157">
        <v>6</v>
      </c>
      <c r="G251" s="1157">
        <v>0.62</v>
      </c>
      <c r="H251" s="1157">
        <v>0.68</v>
      </c>
    </row>
    <row r="252" spans="1:8" s="1146" customFormat="1" ht="13.5" customHeight="1" x14ac:dyDescent="0.25">
      <c r="A252" s="1165" t="s">
        <v>1019</v>
      </c>
      <c r="B252" s="1157">
        <v>1400</v>
      </c>
      <c r="C252" s="1161">
        <v>0.84</v>
      </c>
      <c r="D252" s="1162">
        <v>0.42</v>
      </c>
      <c r="E252" s="1157">
        <v>4</v>
      </c>
      <c r="F252" s="1157">
        <v>6</v>
      </c>
      <c r="G252" s="1157">
        <v>0.49</v>
      </c>
      <c r="H252" s="1157">
        <v>0.54</v>
      </c>
    </row>
    <row r="253" spans="1:8" s="1146" customFormat="1" ht="13.5" customHeight="1" x14ac:dyDescent="0.25">
      <c r="A253" s="1165" t="s">
        <v>1019</v>
      </c>
      <c r="B253" s="1157">
        <v>1200</v>
      </c>
      <c r="C253" s="1161">
        <v>0.84</v>
      </c>
      <c r="D253" s="1162">
        <v>0.34</v>
      </c>
      <c r="E253" s="1157">
        <v>4</v>
      </c>
      <c r="F253" s="1157">
        <v>6</v>
      </c>
      <c r="G253" s="1157">
        <v>0.4</v>
      </c>
      <c r="H253" s="1157">
        <v>0.43</v>
      </c>
    </row>
    <row r="254" spans="1:8" s="1146" customFormat="1" ht="13.5" customHeight="1" x14ac:dyDescent="0.25">
      <c r="A254" s="1165" t="s">
        <v>1019</v>
      </c>
      <c r="B254" s="1157">
        <v>1000</v>
      </c>
      <c r="C254" s="1161">
        <v>0.84</v>
      </c>
      <c r="D254" s="1162">
        <v>0.26</v>
      </c>
      <c r="E254" s="1157">
        <v>4</v>
      </c>
      <c r="F254" s="1157">
        <v>6</v>
      </c>
      <c r="G254" s="1157">
        <v>0.3</v>
      </c>
      <c r="H254" s="1157">
        <v>0.34</v>
      </c>
    </row>
    <row r="255" spans="1:8" s="1146" customFormat="1" ht="13.5" customHeight="1" x14ac:dyDescent="0.25">
      <c r="A255" s="1165" t="s">
        <v>1019</v>
      </c>
      <c r="B255" s="1164">
        <v>800</v>
      </c>
      <c r="C255" s="1161">
        <v>0.84</v>
      </c>
      <c r="D255" s="1162">
        <v>0.19</v>
      </c>
      <c r="E255" s="1157">
        <v>4</v>
      </c>
      <c r="F255" s="1157">
        <v>6</v>
      </c>
      <c r="G255" s="1157">
        <v>0.22</v>
      </c>
      <c r="H255" s="1157">
        <v>0.26</v>
      </c>
    </row>
    <row r="256" spans="1:8" s="1146" customFormat="1" ht="13.5" customHeight="1" x14ac:dyDescent="0.25">
      <c r="A256" s="1157" t="s">
        <v>1099</v>
      </c>
      <c r="B256" s="1157">
        <v>1600</v>
      </c>
      <c r="C256" s="1161">
        <v>0.84</v>
      </c>
      <c r="D256" s="1162">
        <v>0.52</v>
      </c>
      <c r="E256" s="1157">
        <v>7</v>
      </c>
      <c r="F256" s="1157">
        <v>10</v>
      </c>
      <c r="G256" s="1157">
        <v>0.64</v>
      </c>
      <c r="H256" s="1157">
        <v>0.7</v>
      </c>
    </row>
    <row r="257" spans="1:8" s="1146" customFormat="1" ht="13.5" customHeight="1" x14ac:dyDescent="0.25">
      <c r="A257" s="1157" t="s">
        <v>1022</v>
      </c>
      <c r="B257" s="1157">
        <v>1400</v>
      </c>
      <c r="C257" s="1161">
        <v>0.84</v>
      </c>
      <c r="D257" s="1162">
        <v>0.41</v>
      </c>
      <c r="E257" s="1157">
        <v>7</v>
      </c>
      <c r="F257" s="1157">
        <v>10</v>
      </c>
      <c r="G257" s="1157">
        <v>0.52</v>
      </c>
      <c r="H257" s="1157">
        <v>0.57999999999999996</v>
      </c>
    </row>
    <row r="258" spans="1:8" s="1146" customFormat="1" ht="13.5" customHeight="1" x14ac:dyDescent="0.25">
      <c r="A258" s="1165" t="s">
        <v>1019</v>
      </c>
      <c r="B258" s="1157">
        <v>1200</v>
      </c>
      <c r="C258" s="1161">
        <v>0.84</v>
      </c>
      <c r="D258" s="1157">
        <v>0.33</v>
      </c>
      <c r="E258" s="1157">
        <v>7</v>
      </c>
      <c r="F258" s="1157">
        <v>10</v>
      </c>
      <c r="G258" s="1157">
        <v>0.41</v>
      </c>
      <c r="H258" s="1157">
        <v>0.47</v>
      </c>
    </row>
    <row r="259" spans="1:8" s="1146" customFormat="1" ht="13.5" customHeight="1" x14ac:dyDescent="0.25">
      <c r="A259" s="1165" t="s">
        <v>1019</v>
      </c>
      <c r="B259" s="1157">
        <v>1000</v>
      </c>
      <c r="C259" s="1161">
        <v>0.84</v>
      </c>
      <c r="D259" s="1157">
        <v>0.24</v>
      </c>
      <c r="E259" s="1157">
        <v>7</v>
      </c>
      <c r="F259" s="1157">
        <v>10</v>
      </c>
      <c r="G259" s="1157">
        <v>0.28999999999999998</v>
      </c>
      <c r="H259" s="1157">
        <v>0.35</v>
      </c>
    </row>
    <row r="260" spans="1:8" s="1146" customFormat="1" ht="13.5" customHeight="1" x14ac:dyDescent="0.25">
      <c r="A260" s="1165" t="s">
        <v>1019</v>
      </c>
      <c r="B260" s="1164">
        <v>800</v>
      </c>
      <c r="C260" s="1161">
        <v>0.84</v>
      </c>
      <c r="D260" s="1157">
        <v>0.2</v>
      </c>
      <c r="E260" s="1157">
        <v>7</v>
      </c>
      <c r="F260" s="1157">
        <v>10</v>
      </c>
      <c r="G260" s="1157">
        <v>0.23</v>
      </c>
      <c r="H260" s="1157">
        <v>0.28999999999999998</v>
      </c>
    </row>
    <row r="261" spans="1:8" s="1146" customFormat="1" ht="13.5" customHeight="1" x14ac:dyDescent="0.25">
      <c r="A261" s="1861" t="s">
        <v>1100</v>
      </c>
      <c r="B261" s="1861"/>
      <c r="C261" s="1861"/>
      <c r="D261" s="1861"/>
      <c r="E261" s="1861"/>
      <c r="F261" s="1861"/>
      <c r="G261" s="1861"/>
      <c r="H261" s="1861"/>
    </row>
    <row r="262" spans="1:8" s="1146" customFormat="1" ht="13.5" customHeight="1" x14ac:dyDescent="0.25">
      <c r="A262" s="1159" t="s">
        <v>1101</v>
      </c>
      <c r="B262" s="1157">
        <v>1800</v>
      </c>
      <c r="C262" s="1161">
        <v>0.84</v>
      </c>
      <c r="D262" s="1157">
        <v>0.66</v>
      </c>
      <c r="E262" s="1157">
        <v>5</v>
      </c>
      <c r="F262" s="1157">
        <v>10</v>
      </c>
      <c r="G262" s="1157">
        <v>0.8</v>
      </c>
      <c r="H262" s="1157">
        <v>0.92</v>
      </c>
    </row>
    <row r="263" spans="1:8" s="1146" customFormat="1" ht="13.5" customHeight="1" x14ac:dyDescent="0.25">
      <c r="A263" s="1159" t="s">
        <v>1101</v>
      </c>
      <c r="B263" s="1157">
        <v>1600</v>
      </c>
      <c r="C263" s="1161">
        <v>0.84</v>
      </c>
      <c r="D263" s="1157">
        <v>0.57999999999999996</v>
      </c>
      <c r="E263" s="1157">
        <v>5</v>
      </c>
      <c r="F263" s="1157">
        <v>10</v>
      </c>
      <c r="G263" s="1157">
        <v>0.67</v>
      </c>
      <c r="H263" s="1157">
        <v>0.79</v>
      </c>
    </row>
    <row r="264" spans="1:8" s="1146" customFormat="1" ht="13.5" customHeight="1" x14ac:dyDescent="0.25">
      <c r="A264" s="1159" t="s">
        <v>1101</v>
      </c>
      <c r="B264" s="1157">
        <v>1400</v>
      </c>
      <c r="C264" s="1161">
        <v>0.84</v>
      </c>
      <c r="D264" s="1157">
        <v>0.47</v>
      </c>
      <c r="E264" s="1157">
        <v>5</v>
      </c>
      <c r="F264" s="1157">
        <v>10</v>
      </c>
      <c r="G264" s="1157">
        <v>0.56000000000000005</v>
      </c>
      <c r="H264" s="1157">
        <v>0.65</v>
      </c>
    </row>
    <row r="265" spans="1:8" s="1146" customFormat="1" ht="13.5" customHeight="1" x14ac:dyDescent="0.25">
      <c r="A265" s="1159" t="s">
        <v>1101</v>
      </c>
      <c r="B265" s="1157">
        <v>1200</v>
      </c>
      <c r="C265" s="1161">
        <v>0.84</v>
      </c>
      <c r="D265" s="1157">
        <v>0.36</v>
      </c>
      <c r="E265" s="1157">
        <v>5</v>
      </c>
      <c r="F265" s="1157">
        <v>10</v>
      </c>
      <c r="G265" s="1157">
        <v>0.44</v>
      </c>
      <c r="H265" s="1157">
        <v>0.52</v>
      </c>
    </row>
    <row r="266" spans="1:8" s="1146" customFormat="1" ht="13.5" customHeight="1" x14ac:dyDescent="0.25">
      <c r="A266" s="1159" t="s">
        <v>1101</v>
      </c>
      <c r="B266" s="1157">
        <v>1000</v>
      </c>
      <c r="C266" s="1161">
        <v>0.84</v>
      </c>
      <c r="D266" s="1157">
        <v>0.27</v>
      </c>
      <c r="E266" s="1157">
        <v>5</v>
      </c>
      <c r="F266" s="1157">
        <v>10</v>
      </c>
      <c r="G266" s="1157">
        <v>0.33</v>
      </c>
      <c r="H266" s="1157">
        <v>0.41</v>
      </c>
    </row>
    <row r="267" spans="1:8" s="1146" customFormat="1" ht="13.5" customHeight="1" x14ac:dyDescent="0.25">
      <c r="A267" s="1159" t="s">
        <v>1101</v>
      </c>
      <c r="B267" s="1164">
        <v>800</v>
      </c>
      <c r="C267" s="1161">
        <v>0.84</v>
      </c>
      <c r="D267" s="1157">
        <v>0.21</v>
      </c>
      <c r="E267" s="1157">
        <v>5</v>
      </c>
      <c r="F267" s="1157">
        <v>10</v>
      </c>
      <c r="G267" s="1157">
        <v>0.24</v>
      </c>
      <c r="H267" s="1157">
        <v>0.31</v>
      </c>
    </row>
    <row r="268" spans="1:8" s="1146" customFormat="1" ht="13.5" customHeight="1" x14ac:dyDescent="0.25">
      <c r="A268" s="1159" t="s">
        <v>1101</v>
      </c>
      <c r="B268" s="1157">
        <v>600</v>
      </c>
      <c r="C268" s="1161">
        <v>0.84</v>
      </c>
      <c r="D268" s="1157">
        <v>0.16</v>
      </c>
      <c r="E268" s="1157">
        <v>5</v>
      </c>
      <c r="F268" s="1157">
        <v>10</v>
      </c>
      <c r="G268" s="1157">
        <v>0.2</v>
      </c>
      <c r="H268" s="1157">
        <v>0.26</v>
      </c>
    </row>
    <row r="269" spans="1:8" s="1146" customFormat="1" ht="13.5" customHeight="1" x14ac:dyDescent="0.25">
      <c r="A269" s="1159" t="s">
        <v>1101</v>
      </c>
      <c r="B269" s="1164">
        <v>500</v>
      </c>
      <c r="C269" s="1161">
        <v>0.84</v>
      </c>
      <c r="D269" s="1157">
        <v>0.14000000000000001</v>
      </c>
      <c r="E269" s="1157">
        <v>5</v>
      </c>
      <c r="F269" s="1157">
        <v>10</v>
      </c>
      <c r="G269" s="1157">
        <v>0.17</v>
      </c>
      <c r="H269" s="1157">
        <v>0.23</v>
      </c>
    </row>
    <row r="270" spans="1:8" s="1146" customFormat="1" ht="13.5" customHeight="1" x14ac:dyDescent="0.25">
      <c r="A270" s="1157" t="s">
        <v>1102</v>
      </c>
      <c r="B270" s="1157">
        <v>1200</v>
      </c>
      <c r="C270" s="1161">
        <v>0.84</v>
      </c>
      <c r="D270" s="1157">
        <v>0.41</v>
      </c>
      <c r="E270" s="1157">
        <v>4</v>
      </c>
      <c r="F270" s="1157">
        <v>8</v>
      </c>
      <c r="G270" s="1157">
        <v>0.52</v>
      </c>
      <c r="H270" s="1157">
        <v>0.57999999999999996</v>
      </c>
    </row>
    <row r="271" spans="1:8" s="1146" customFormat="1" ht="13.5" customHeight="1" x14ac:dyDescent="0.25">
      <c r="A271" s="1157" t="s">
        <v>1022</v>
      </c>
      <c r="B271" s="1157">
        <v>1000</v>
      </c>
      <c r="C271" s="1161">
        <v>0.84</v>
      </c>
      <c r="D271" s="1157">
        <v>0.33</v>
      </c>
      <c r="E271" s="1157">
        <v>4</v>
      </c>
      <c r="F271" s="1157">
        <v>8</v>
      </c>
      <c r="G271" s="1157">
        <v>0.41</v>
      </c>
      <c r="H271" s="1157">
        <v>0.47</v>
      </c>
    </row>
    <row r="272" spans="1:8" s="1146" customFormat="1" ht="13.5" customHeight="1" x14ac:dyDescent="0.25">
      <c r="A272" s="1165" t="s">
        <v>1019</v>
      </c>
      <c r="B272" s="1164">
        <v>800</v>
      </c>
      <c r="C272" s="1161">
        <v>0.84</v>
      </c>
      <c r="D272" s="1157">
        <v>0.23</v>
      </c>
      <c r="E272" s="1157">
        <v>4</v>
      </c>
      <c r="F272" s="1157">
        <v>8</v>
      </c>
      <c r="G272" s="1157">
        <v>0.28999999999999998</v>
      </c>
      <c r="H272" s="1157">
        <v>0.35</v>
      </c>
    </row>
    <row r="273" spans="1:8" s="1146" customFormat="1" ht="13.5" customHeight="1" x14ac:dyDescent="0.25">
      <c r="A273" s="1157" t="s">
        <v>1103</v>
      </c>
      <c r="B273" s="1157">
        <v>1000</v>
      </c>
      <c r="C273" s="1161">
        <v>0.84</v>
      </c>
      <c r="D273" s="1157">
        <v>0.28000000000000003</v>
      </c>
      <c r="E273" s="1157">
        <v>9</v>
      </c>
      <c r="F273" s="1157">
        <v>13</v>
      </c>
      <c r="G273" s="1157">
        <v>0.35</v>
      </c>
      <c r="H273" s="1157">
        <v>0.41</v>
      </c>
    </row>
    <row r="274" spans="1:8" s="1146" customFormat="1" ht="13.5" customHeight="1" x14ac:dyDescent="0.25">
      <c r="A274" s="1157" t="s">
        <v>1022</v>
      </c>
      <c r="B274" s="1164">
        <v>800</v>
      </c>
      <c r="C274" s="1161">
        <v>0.84</v>
      </c>
      <c r="D274" s="1157">
        <v>0.22</v>
      </c>
      <c r="E274" s="1157">
        <v>9</v>
      </c>
      <c r="F274" s="1157">
        <v>13</v>
      </c>
      <c r="G274" s="1157">
        <v>0.28999999999999998</v>
      </c>
      <c r="H274" s="1157">
        <v>0.35</v>
      </c>
    </row>
    <row r="275" spans="1:8" s="1146" customFormat="1" ht="13.5" customHeight="1" x14ac:dyDescent="0.25">
      <c r="A275" s="1157" t="s">
        <v>1104</v>
      </c>
      <c r="B275" s="1157">
        <v>1400</v>
      </c>
      <c r="C275" s="1161">
        <v>0.84</v>
      </c>
      <c r="D275" s="1157">
        <v>0.49</v>
      </c>
      <c r="E275" s="1157">
        <v>4</v>
      </c>
      <c r="F275" s="1157">
        <v>7</v>
      </c>
      <c r="G275" s="1157">
        <v>0.56000000000000005</v>
      </c>
      <c r="H275" s="1157">
        <v>0.64</v>
      </c>
    </row>
    <row r="276" spans="1:8" s="1146" customFormat="1" ht="13.5" customHeight="1" x14ac:dyDescent="0.25">
      <c r="A276" s="1165" t="s">
        <v>1019</v>
      </c>
      <c r="B276" s="1157">
        <v>1200</v>
      </c>
      <c r="C276" s="1161">
        <v>0.84</v>
      </c>
      <c r="D276" s="1157">
        <v>0.36</v>
      </c>
      <c r="E276" s="1157">
        <v>4</v>
      </c>
      <c r="F276" s="1157">
        <v>7</v>
      </c>
      <c r="G276" s="1157">
        <v>0.44</v>
      </c>
      <c r="H276" s="1157">
        <v>0.5</v>
      </c>
    </row>
    <row r="277" spans="1:8" s="1146" customFormat="1" ht="13.5" customHeight="1" x14ac:dyDescent="0.25">
      <c r="A277" s="1165" t="s">
        <v>1019</v>
      </c>
      <c r="B277" s="1157">
        <v>1000</v>
      </c>
      <c r="C277" s="1161">
        <v>0.84</v>
      </c>
      <c r="D277" s="1157">
        <v>0.27</v>
      </c>
      <c r="E277" s="1157">
        <v>4</v>
      </c>
      <c r="F277" s="1157">
        <v>7</v>
      </c>
      <c r="G277" s="1157">
        <v>0.33</v>
      </c>
      <c r="H277" s="1157">
        <v>0.38</v>
      </c>
    </row>
    <row r="278" spans="1:8" s="1146" customFormat="1" ht="13.5" customHeight="1" x14ac:dyDescent="0.25">
      <c r="A278" s="1157" t="s">
        <v>1105</v>
      </c>
      <c r="B278" s="1157">
        <v>1200</v>
      </c>
      <c r="C278" s="1161">
        <v>0.84</v>
      </c>
      <c r="D278" s="1157">
        <v>0.28999999999999998</v>
      </c>
      <c r="E278" s="1157">
        <v>10</v>
      </c>
      <c r="F278" s="1157">
        <v>15</v>
      </c>
      <c r="G278" s="1157">
        <v>0.44</v>
      </c>
      <c r="H278" s="1157">
        <v>0.5</v>
      </c>
    </row>
    <row r="279" spans="1:8" s="1146" customFormat="1" ht="13.5" customHeight="1" x14ac:dyDescent="0.25">
      <c r="A279" s="1165" t="s">
        <v>1019</v>
      </c>
      <c r="B279" s="1157">
        <v>1000</v>
      </c>
      <c r="C279" s="1161">
        <v>0.84</v>
      </c>
      <c r="D279" s="1157">
        <v>0.22</v>
      </c>
      <c r="E279" s="1157">
        <v>10</v>
      </c>
      <c r="F279" s="1157">
        <v>15</v>
      </c>
      <c r="G279" s="1157">
        <v>0.33</v>
      </c>
      <c r="H279" s="1157">
        <v>0.38</v>
      </c>
    </row>
    <row r="280" spans="1:8" s="1146" customFormat="1" ht="13.5" customHeight="1" x14ac:dyDescent="0.25">
      <c r="A280" s="1165" t="s">
        <v>1019</v>
      </c>
      <c r="B280" s="1164">
        <v>800</v>
      </c>
      <c r="C280" s="1161">
        <v>0.84</v>
      </c>
      <c r="D280" s="1157">
        <v>0.16</v>
      </c>
      <c r="E280" s="1157">
        <v>10</v>
      </c>
      <c r="F280" s="1157">
        <v>15</v>
      </c>
      <c r="G280" s="1157">
        <v>0.27</v>
      </c>
      <c r="H280" s="1157">
        <v>0.33</v>
      </c>
    </row>
    <row r="281" spans="1:8" s="1146" customFormat="1" ht="13.5" customHeight="1" x14ac:dyDescent="0.25">
      <c r="A281" s="1165" t="s">
        <v>1019</v>
      </c>
      <c r="B281" s="1157">
        <v>600</v>
      </c>
      <c r="C281" s="1161">
        <v>0.84</v>
      </c>
      <c r="D281" s="1157">
        <v>0.12</v>
      </c>
      <c r="E281" s="1157">
        <v>10</v>
      </c>
      <c r="F281" s="1157">
        <v>15</v>
      </c>
      <c r="G281" s="1157">
        <v>0.19</v>
      </c>
      <c r="H281" s="1157">
        <v>0.23</v>
      </c>
    </row>
    <row r="282" spans="1:8" s="1146" customFormat="1" ht="13.5" customHeight="1" x14ac:dyDescent="0.25">
      <c r="A282" s="1157" t="s">
        <v>1106</v>
      </c>
      <c r="B282" s="1157">
        <v>1800</v>
      </c>
      <c r="C282" s="1161">
        <v>0.84</v>
      </c>
      <c r="D282" s="1157">
        <v>0.52</v>
      </c>
      <c r="E282" s="1157">
        <v>5</v>
      </c>
      <c r="F282" s="1157">
        <v>8</v>
      </c>
      <c r="G282" s="1157">
        <v>0.63</v>
      </c>
      <c r="H282" s="1157">
        <v>0.76</v>
      </c>
    </row>
    <row r="283" spans="1:8" s="1146" customFormat="1" ht="13.5" customHeight="1" x14ac:dyDescent="0.25">
      <c r="A283" s="1157" t="s">
        <v>1022</v>
      </c>
      <c r="B283" s="1157">
        <v>1600</v>
      </c>
      <c r="C283" s="1161">
        <v>0.84</v>
      </c>
      <c r="D283" s="1157">
        <v>0.41</v>
      </c>
      <c r="E283" s="1157">
        <v>5</v>
      </c>
      <c r="F283" s="1157">
        <v>8</v>
      </c>
      <c r="G283" s="1157">
        <v>0.52</v>
      </c>
      <c r="H283" s="1157">
        <v>0.63</v>
      </c>
    </row>
    <row r="284" spans="1:8" s="1146" customFormat="1" ht="13.5" customHeight="1" x14ac:dyDescent="0.25">
      <c r="A284" s="1165" t="s">
        <v>1019</v>
      </c>
      <c r="B284" s="1157">
        <v>1400</v>
      </c>
      <c r="C284" s="1161">
        <v>0.84</v>
      </c>
      <c r="D284" s="1157">
        <v>0.35</v>
      </c>
      <c r="E284" s="1157">
        <v>5</v>
      </c>
      <c r="F284" s="1157">
        <v>8</v>
      </c>
      <c r="G284" s="1157">
        <v>0.44</v>
      </c>
      <c r="H284" s="1157">
        <v>0.52</v>
      </c>
    </row>
    <row r="285" spans="1:8" s="1146" customFormat="1" ht="13.5" customHeight="1" x14ac:dyDescent="0.25">
      <c r="A285" s="1165" t="s">
        <v>1019</v>
      </c>
      <c r="B285" s="1157">
        <v>1200</v>
      </c>
      <c r="C285" s="1161">
        <v>0.84</v>
      </c>
      <c r="D285" s="1157">
        <v>0.28999999999999998</v>
      </c>
      <c r="E285" s="1157">
        <v>5</v>
      </c>
      <c r="F285" s="1157">
        <v>8</v>
      </c>
      <c r="G285" s="1157">
        <v>0.37</v>
      </c>
      <c r="H285" s="1157">
        <v>0.44</v>
      </c>
    </row>
    <row r="286" spans="1:8" s="1146" customFormat="1" ht="13.5" customHeight="1" x14ac:dyDescent="0.25">
      <c r="A286" s="1165" t="s">
        <v>1019</v>
      </c>
      <c r="B286" s="1157">
        <v>1000</v>
      </c>
      <c r="C286" s="1161">
        <v>0.84</v>
      </c>
      <c r="D286" s="1157">
        <v>0.23</v>
      </c>
      <c r="E286" s="1157">
        <v>5</v>
      </c>
      <c r="F286" s="1157">
        <v>8</v>
      </c>
      <c r="G286" s="1157">
        <v>0.31</v>
      </c>
      <c r="H286" s="1157">
        <v>0.37</v>
      </c>
    </row>
    <row r="287" spans="1:8" s="1146" customFormat="1" ht="13.5" customHeight="1" x14ac:dyDescent="0.25">
      <c r="A287" s="1157" t="s">
        <v>1107</v>
      </c>
      <c r="B287" s="1157">
        <v>1600</v>
      </c>
      <c r="C287" s="1161">
        <v>0.84</v>
      </c>
      <c r="D287" s="1157">
        <v>0.47</v>
      </c>
      <c r="E287" s="1157">
        <v>8</v>
      </c>
      <c r="F287" s="1157">
        <v>11</v>
      </c>
      <c r="G287" s="1157">
        <v>0.63</v>
      </c>
      <c r="H287" s="1157">
        <v>0.7</v>
      </c>
    </row>
    <row r="288" spans="1:8" s="1146" customFormat="1" ht="13.5" customHeight="1" x14ac:dyDescent="0.25">
      <c r="A288" s="1157" t="s">
        <v>1022</v>
      </c>
      <c r="B288" s="1157">
        <v>1400</v>
      </c>
      <c r="C288" s="1161">
        <v>0.84</v>
      </c>
      <c r="D288" s="1157">
        <v>0.35</v>
      </c>
      <c r="E288" s="1157">
        <v>8</v>
      </c>
      <c r="F288" s="1157">
        <v>11</v>
      </c>
      <c r="G288" s="1157">
        <v>0.52</v>
      </c>
      <c r="H288" s="1157">
        <v>0.57999999999999996</v>
      </c>
    </row>
    <row r="289" spans="1:8" s="1146" customFormat="1" ht="13.5" customHeight="1" x14ac:dyDescent="0.25">
      <c r="A289" s="1165" t="s">
        <v>1019</v>
      </c>
      <c r="B289" s="1157">
        <v>1200</v>
      </c>
      <c r="C289" s="1161">
        <v>0.84</v>
      </c>
      <c r="D289" s="1157">
        <v>0.28999999999999998</v>
      </c>
      <c r="E289" s="1157">
        <v>8</v>
      </c>
      <c r="F289" s="1157">
        <v>11</v>
      </c>
      <c r="G289" s="1157">
        <v>0.41</v>
      </c>
      <c r="H289" s="1157">
        <v>0.47</v>
      </c>
    </row>
    <row r="290" spans="1:8" s="1146" customFormat="1" ht="13.5" customHeight="1" x14ac:dyDescent="0.25">
      <c r="A290" s="1165" t="s">
        <v>1019</v>
      </c>
      <c r="B290" s="1157">
        <v>1000</v>
      </c>
      <c r="C290" s="1161">
        <v>0.84</v>
      </c>
      <c r="D290" s="1157">
        <v>0.23</v>
      </c>
      <c r="E290" s="1157">
        <v>8</v>
      </c>
      <c r="F290" s="1157">
        <v>11</v>
      </c>
      <c r="G290" s="1157">
        <v>0.35</v>
      </c>
      <c r="H290" s="1157">
        <v>0.41</v>
      </c>
    </row>
    <row r="291" spans="1:8" s="1146" customFormat="1" ht="13.5" customHeight="1" x14ac:dyDescent="0.25">
      <c r="A291" s="1165" t="s">
        <v>1019</v>
      </c>
      <c r="B291" s="1164">
        <v>800</v>
      </c>
      <c r="C291" s="1161">
        <v>0.84</v>
      </c>
      <c r="D291" s="1157">
        <v>0.17</v>
      </c>
      <c r="E291" s="1157">
        <v>8</v>
      </c>
      <c r="F291" s="1157">
        <v>11</v>
      </c>
      <c r="G291" s="1157">
        <v>0.28999999999999998</v>
      </c>
      <c r="H291" s="1157">
        <v>0.35</v>
      </c>
    </row>
    <row r="292" spans="1:8" s="1146" customFormat="1" ht="13.5" customHeight="1" x14ac:dyDescent="0.25">
      <c r="A292" s="1157" t="s">
        <v>1108</v>
      </c>
      <c r="B292" s="1157">
        <v>1800</v>
      </c>
      <c r="C292" s="1161">
        <v>0.84</v>
      </c>
      <c r="D292" s="1157">
        <v>0.57999999999999996</v>
      </c>
      <c r="E292" s="1157">
        <v>5</v>
      </c>
      <c r="F292" s="1157">
        <v>8</v>
      </c>
      <c r="G292" s="1157">
        <v>0.7</v>
      </c>
      <c r="H292" s="1157">
        <v>0.81</v>
      </c>
    </row>
    <row r="293" spans="1:8" s="1146" customFormat="1" ht="13.5" customHeight="1" x14ac:dyDescent="0.25">
      <c r="A293" s="1157" t="s">
        <v>1108</v>
      </c>
      <c r="B293" s="1157">
        <v>1600</v>
      </c>
      <c r="C293" s="1161">
        <v>0.84</v>
      </c>
      <c r="D293" s="1157">
        <v>0.47</v>
      </c>
      <c r="E293" s="1157">
        <v>5</v>
      </c>
      <c r="F293" s="1157">
        <v>8</v>
      </c>
      <c r="G293" s="1157">
        <v>0.57999999999999996</v>
      </c>
      <c r="H293" s="1157">
        <v>0.64</v>
      </c>
    </row>
    <row r="294" spans="1:8" s="1146" customFormat="1" ht="13.5" customHeight="1" x14ac:dyDescent="0.25">
      <c r="A294" s="1157" t="s">
        <v>1022</v>
      </c>
      <c r="B294" s="1157">
        <v>1400</v>
      </c>
      <c r="C294" s="1161">
        <v>0.84</v>
      </c>
      <c r="D294" s="1157">
        <v>0.41</v>
      </c>
      <c r="E294" s="1157">
        <v>5</v>
      </c>
      <c r="F294" s="1157">
        <v>8</v>
      </c>
      <c r="G294" s="1157">
        <v>0.52</v>
      </c>
      <c r="H294" s="1157">
        <v>0.57999999999999996</v>
      </c>
    </row>
    <row r="295" spans="1:8" s="1146" customFormat="1" ht="13.5" customHeight="1" x14ac:dyDescent="0.25">
      <c r="A295" s="1165" t="s">
        <v>1019</v>
      </c>
      <c r="B295" s="1157">
        <v>1200</v>
      </c>
      <c r="C295" s="1161">
        <v>0.84</v>
      </c>
      <c r="D295" s="1157">
        <v>0.35</v>
      </c>
      <c r="E295" s="1157">
        <v>5</v>
      </c>
      <c r="F295" s="1157">
        <v>8</v>
      </c>
      <c r="G295" s="1157">
        <v>0.47</v>
      </c>
      <c r="H295" s="1157">
        <v>0.52</v>
      </c>
    </row>
    <row r="296" spans="1:8" s="1146" customFormat="1" ht="13.5" customHeight="1" x14ac:dyDescent="0.25">
      <c r="A296" s="1157" t="s">
        <v>1109</v>
      </c>
      <c r="B296" s="1157">
        <v>1800</v>
      </c>
      <c r="C296" s="1161">
        <v>0.84</v>
      </c>
      <c r="D296" s="1157">
        <v>0.7</v>
      </c>
      <c r="E296" s="1157">
        <v>5</v>
      </c>
      <c r="F296" s="1157">
        <v>8</v>
      </c>
      <c r="G296" s="1157">
        <v>0.85</v>
      </c>
      <c r="H296" s="1157">
        <v>0.93</v>
      </c>
    </row>
    <row r="297" spans="1:8" s="1146" customFormat="1" ht="13.5" customHeight="1" x14ac:dyDescent="0.25">
      <c r="A297" s="1157" t="s">
        <v>1022</v>
      </c>
      <c r="B297" s="1157">
        <v>1600</v>
      </c>
      <c r="C297" s="1161">
        <v>0.84</v>
      </c>
      <c r="D297" s="1157">
        <v>0.57999999999999996</v>
      </c>
      <c r="E297" s="1157">
        <v>5</v>
      </c>
      <c r="F297" s="1157">
        <v>8</v>
      </c>
      <c r="G297" s="1157">
        <v>0.72</v>
      </c>
      <c r="H297" s="1157">
        <v>0.78</v>
      </c>
    </row>
    <row r="298" spans="1:8" s="1146" customFormat="1" ht="13.5" customHeight="1" x14ac:dyDescent="0.25">
      <c r="A298" s="1165" t="s">
        <v>1019</v>
      </c>
      <c r="B298" s="1157">
        <v>1400</v>
      </c>
      <c r="C298" s="1161">
        <v>0.84</v>
      </c>
      <c r="D298" s="1157">
        <v>0.47</v>
      </c>
      <c r="E298" s="1157">
        <v>5</v>
      </c>
      <c r="F298" s="1157">
        <v>8</v>
      </c>
      <c r="G298" s="1157">
        <v>0.59</v>
      </c>
      <c r="H298" s="1157">
        <v>0.65</v>
      </c>
    </row>
    <row r="299" spans="1:8" s="1146" customFormat="1" ht="13.5" customHeight="1" x14ac:dyDescent="0.25">
      <c r="A299" s="1165" t="s">
        <v>1019</v>
      </c>
      <c r="B299" s="1157">
        <v>1200</v>
      </c>
      <c r="C299" s="1161">
        <v>0.84</v>
      </c>
      <c r="D299" s="1157">
        <v>0.35</v>
      </c>
      <c r="E299" s="1157">
        <v>5</v>
      </c>
      <c r="F299" s="1157">
        <v>8</v>
      </c>
      <c r="G299" s="1157">
        <v>0.48</v>
      </c>
      <c r="H299" s="1157">
        <v>0.54</v>
      </c>
    </row>
    <row r="300" spans="1:8" s="1146" customFormat="1" ht="13.5" customHeight="1" x14ac:dyDescent="0.25">
      <c r="A300" s="1165" t="s">
        <v>1019</v>
      </c>
      <c r="B300" s="1157">
        <v>1000</v>
      </c>
      <c r="C300" s="1161">
        <v>0.84</v>
      </c>
      <c r="D300" s="1157">
        <v>0.28999999999999998</v>
      </c>
      <c r="E300" s="1157">
        <v>5</v>
      </c>
      <c r="F300" s="1157">
        <v>8</v>
      </c>
      <c r="G300" s="1157">
        <v>0.38</v>
      </c>
      <c r="H300" s="1157">
        <v>0.44</v>
      </c>
    </row>
    <row r="301" spans="1:8" s="1146" customFormat="1" ht="13.5" customHeight="1" x14ac:dyDescent="0.25">
      <c r="A301" s="1157" t="s">
        <v>1110</v>
      </c>
      <c r="B301" s="1157">
        <v>1400</v>
      </c>
      <c r="C301" s="1161">
        <v>0.84</v>
      </c>
      <c r="D301" s="1157">
        <v>0.47</v>
      </c>
      <c r="E301" s="1157">
        <v>5</v>
      </c>
      <c r="F301" s="1157">
        <v>8</v>
      </c>
      <c r="G301" s="1157">
        <v>0.52</v>
      </c>
      <c r="H301" s="1157">
        <v>0.57999999999999996</v>
      </c>
    </row>
    <row r="302" spans="1:8" s="1146" customFormat="1" ht="13.5" customHeight="1" x14ac:dyDescent="0.25">
      <c r="A302" s="1157" t="s">
        <v>1022</v>
      </c>
      <c r="B302" s="1157">
        <v>1200</v>
      </c>
      <c r="C302" s="1161">
        <v>0.84</v>
      </c>
      <c r="D302" s="1157">
        <v>0.35</v>
      </c>
      <c r="E302" s="1157">
        <v>5</v>
      </c>
      <c r="F302" s="1157">
        <v>8</v>
      </c>
      <c r="G302" s="1157">
        <v>0.41</v>
      </c>
      <c r="H302" s="1157">
        <v>0.47</v>
      </c>
    </row>
    <row r="303" spans="1:8" s="1146" customFormat="1" ht="13.5" customHeight="1" x14ac:dyDescent="0.25">
      <c r="A303" s="1165" t="s">
        <v>1019</v>
      </c>
      <c r="B303" s="1157">
        <v>1000</v>
      </c>
      <c r="C303" s="1161">
        <v>0.84</v>
      </c>
      <c r="D303" s="1157">
        <v>0.24</v>
      </c>
      <c r="E303" s="1157">
        <v>5</v>
      </c>
      <c r="F303" s="1157">
        <v>8</v>
      </c>
      <c r="G303" s="1157">
        <v>0.3</v>
      </c>
      <c r="H303" s="1157">
        <v>0.35</v>
      </c>
    </row>
    <row r="304" spans="1:8" s="1146" customFormat="1" ht="13.5" customHeight="1" x14ac:dyDescent="0.25">
      <c r="A304" s="1157" t="s">
        <v>1111</v>
      </c>
      <c r="B304" s="1164">
        <v>800</v>
      </c>
      <c r="C304" s="1161">
        <v>0.84</v>
      </c>
      <c r="D304" s="1157">
        <v>0.21</v>
      </c>
      <c r="E304" s="1157">
        <v>8</v>
      </c>
      <c r="F304" s="1157">
        <v>13</v>
      </c>
      <c r="G304" s="1157">
        <v>0.23</v>
      </c>
      <c r="H304" s="1157">
        <v>0.26</v>
      </c>
    </row>
    <row r="305" spans="1:8" s="1146" customFormat="1" ht="13.5" customHeight="1" x14ac:dyDescent="0.25">
      <c r="A305" s="1165" t="s">
        <v>1019</v>
      </c>
      <c r="B305" s="1157">
        <v>600</v>
      </c>
      <c r="C305" s="1161">
        <v>0.84</v>
      </c>
      <c r="D305" s="1157">
        <v>0.14000000000000001</v>
      </c>
      <c r="E305" s="1157">
        <v>8</v>
      </c>
      <c r="F305" s="1157">
        <v>13</v>
      </c>
      <c r="G305" s="1157">
        <v>0.16</v>
      </c>
      <c r="H305" s="1157">
        <v>0.17</v>
      </c>
    </row>
    <row r="306" spans="1:8" s="1146" customFormat="1" ht="13.5" customHeight="1" x14ac:dyDescent="0.25">
      <c r="A306" s="1165" t="s">
        <v>1019</v>
      </c>
      <c r="B306" s="1157">
        <v>400</v>
      </c>
      <c r="C306" s="1161">
        <v>0.84</v>
      </c>
      <c r="D306" s="1157">
        <v>0.09</v>
      </c>
      <c r="E306" s="1157">
        <v>8</v>
      </c>
      <c r="F306" s="1157">
        <v>13</v>
      </c>
      <c r="G306" s="1157">
        <v>0.11</v>
      </c>
      <c r="H306" s="1157">
        <v>0.13</v>
      </c>
    </row>
    <row r="307" spans="1:8" s="1146" customFormat="1" ht="13.5" customHeight="1" x14ac:dyDescent="0.25">
      <c r="A307" s="1165" t="s">
        <v>1019</v>
      </c>
      <c r="B307" s="1164">
        <v>300</v>
      </c>
      <c r="C307" s="1161">
        <v>0.84</v>
      </c>
      <c r="D307" s="1157">
        <v>0.08</v>
      </c>
      <c r="E307" s="1157">
        <v>8</v>
      </c>
      <c r="F307" s="1157">
        <v>13</v>
      </c>
      <c r="G307" s="1157">
        <v>0.09</v>
      </c>
      <c r="H307" s="1157">
        <v>0.11</v>
      </c>
    </row>
    <row r="308" spans="1:8" s="1146" customFormat="1" ht="13.5" customHeight="1" x14ac:dyDescent="0.25">
      <c r="A308" s="1861" t="s">
        <v>1112</v>
      </c>
      <c r="B308" s="1861"/>
      <c r="C308" s="1861"/>
      <c r="D308" s="1861"/>
      <c r="E308" s="1861"/>
      <c r="F308" s="1861"/>
      <c r="G308" s="1861"/>
      <c r="H308" s="1861"/>
    </row>
    <row r="309" spans="1:8" s="1146" customFormat="1" ht="13.5" customHeight="1" x14ac:dyDescent="0.25">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25">
      <c r="A310" s="1163"/>
      <c r="B310" s="1163"/>
      <c r="C310" s="1163"/>
      <c r="D310" s="1163"/>
      <c r="E310" s="1163"/>
      <c r="F310" s="1163"/>
      <c r="G310" s="1163"/>
      <c r="H310" s="1163"/>
    </row>
    <row r="311" spans="1:8" s="1146" customFormat="1" ht="13.5" customHeight="1" x14ac:dyDescent="0.25">
      <c r="A311" s="1165" t="s">
        <v>1019</v>
      </c>
      <c r="B311" s="1164">
        <v>500</v>
      </c>
      <c r="C311" s="1161">
        <v>1.06</v>
      </c>
      <c r="D311" s="1157">
        <v>0.125</v>
      </c>
      <c r="E311" s="1157">
        <v>4</v>
      </c>
      <c r="F311" s="1157">
        <v>8</v>
      </c>
      <c r="G311" s="1157">
        <v>0.14000000000000001</v>
      </c>
      <c r="H311" s="1157">
        <v>0.16</v>
      </c>
    </row>
    <row r="312" spans="1:8" s="1146" customFormat="1" ht="13.5" customHeight="1" x14ac:dyDescent="0.25">
      <c r="A312" s="1165" t="s">
        <v>1019</v>
      </c>
      <c r="B312" s="1157">
        <v>400</v>
      </c>
      <c r="C312" s="1161">
        <v>1.06</v>
      </c>
      <c r="D312" s="1157">
        <v>0.105</v>
      </c>
      <c r="E312" s="1157">
        <v>4</v>
      </c>
      <c r="F312" s="1157">
        <v>8</v>
      </c>
      <c r="G312" s="1157">
        <v>0.12</v>
      </c>
      <c r="H312" s="1157">
        <v>0.13500000000000001</v>
      </c>
    </row>
    <row r="313" spans="1:8" s="1146" customFormat="1" ht="13.5" customHeight="1" x14ac:dyDescent="0.25">
      <c r="A313" s="1165" t="s">
        <v>1019</v>
      </c>
      <c r="B313" s="1164">
        <v>300</v>
      </c>
      <c r="C313" s="1161">
        <v>1.06</v>
      </c>
      <c r="D313" s="1157">
        <v>8.5000000000000006E-2</v>
      </c>
      <c r="E313" s="1157">
        <v>4</v>
      </c>
      <c r="F313" s="1157">
        <v>8</v>
      </c>
      <c r="G313" s="1157">
        <v>0.09</v>
      </c>
      <c r="H313" s="1157">
        <v>0.11</v>
      </c>
    </row>
    <row r="314" spans="1:8" s="1146" customFormat="1" ht="13.5" customHeight="1" x14ac:dyDescent="0.25">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25">
      <c r="A315" s="1165" t="s">
        <v>1019</v>
      </c>
      <c r="B315" s="1164">
        <v>150</v>
      </c>
      <c r="C315" s="1161">
        <v>1.06</v>
      </c>
      <c r="D315" s="1157">
        <v>5.5E-2</v>
      </c>
      <c r="E315" s="1157">
        <v>4</v>
      </c>
      <c r="F315" s="1157">
        <v>8</v>
      </c>
      <c r="G315" s="1157">
        <v>5.7000000000000002E-2</v>
      </c>
      <c r="H315" s="1157">
        <v>0.06</v>
      </c>
    </row>
    <row r="316" spans="1:8" s="1146" customFormat="1" ht="13.5" customHeight="1" x14ac:dyDescent="0.25">
      <c r="A316" s="1159" t="s">
        <v>1114</v>
      </c>
      <c r="B316" s="1157">
        <v>1000</v>
      </c>
      <c r="C316" s="1161">
        <v>0.84</v>
      </c>
      <c r="D316" s="1157">
        <v>0.28999999999999998</v>
      </c>
      <c r="E316" s="1157">
        <v>10</v>
      </c>
      <c r="F316" s="1157">
        <v>15</v>
      </c>
      <c r="G316" s="1157">
        <v>0.41</v>
      </c>
      <c r="H316" s="1157">
        <v>0.47</v>
      </c>
    </row>
    <row r="317" spans="1:8" s="1146" customFormat="1" ht="13.5" customHeight="1" x14ac:dyDescent="0.25">
      <c r="A317" s="1157" t="s">
        <v>1022</v>
      </c>
      <c r="B317" s="1164">
        <v>800</v>
      </c>
      <c r="C317" s="1161">
        <v>0.84</v>
      </c>
      <c r="D317" s="1157">
        <v>0.21</v>
      </c>
      <c r="E317" s="1157">
        <v>10</v>
      </c>
      <c r="F317" s="1157">
        <v>15</v>
      </c>
      <c r="G317" s="1157">
        <v>0.33</v>
      </c>
      <c r="H317" s="1157">
        <v>0.37</v>
      </c>
    </row>
    <row r="318" spans="1:8" s="1146" customFormat="1" ht="13.5" customHeight="1" x14ac:dyDescent="0.25">
      <c r="A318" s="1165" t="s">
        <v>1019</v>
      </c>
      <c r="B318" s="1157">
        <v>600</v>
      </c>
      <c r="C318" s="1161">
        <v>0.84</v>
      </c>
      <c r="D318" s="1157">
        <v>0.14000000000000001</v>
      </c>
      <c r="E318" s="1157">
        <v>8</v>
      </c>
      <c r="F318" s="1157">
        <v>12</v>
      </c>
      <c r="G318" s="1157">
        <v>0.22</v>
      </c>
      <c r="H318" s="1157">
        <v>0.26</v>
      </c>
    </row>
    <row r="319" spans="1:8" s="1146" customFormat="1" ht="13.5" customHeight="1" x14ac:dyDescent="0.25">
      <c r="A319" s="1165" t="s">
        <v>1019</v>
      </c>
      <c r="B319" s="1157">
        <v>400</v>
      </c>
      <c r="C319" s="1161">
        <v>0.84</v>
      </c>
      <c r="D319" s="1157">
        <v>0.11</v>
      </c>
      <c r="E319" s="1157">
        <v>8</v>
      </c>
      <c r="F319" s="1157">
        <v>12</v>
      </c>
      <c r="G319" s="1157">
        <v>0.14000000000000001</v>
      </c>
      <c r="H319" s="1157">
        <v>0.15</v>
      </c>
    </row>
    <row r="320" spans="1:8" s="1146" customFormat="1" ht="13.5" customHeight="1" x14ac:dyDescent="0.25">
      <c r="A320" s="1157" t="s">
        <v>1114</v>
      </c>
      <c r="B320" s="1164">
        <v>300</v>
      </c>
      <c r="C320" s="1161">
        <v>0.84</v>
      </c>
      <c r="D320" s="1157">
        <v>0.08</v>
      </c>
      <c r="E320" s="1157">
        <v>8</v>
      </c>
      <c r="F320" s="1157">
        <v>12</v>
      </c>
      <c r="G320" s="1157">
        <v>0.11</v>
      </c>
      <c r="H320" s="1157">
        <v>0.13</v>
      </c>
    </row>
    <row r="321" spans="1:8" s="1146" customFormat="1" ht="13.5" customHeight="1" x14ac:dyDescent="0.25">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25">
      <c r="A322" s="1157" t="s">
        <v>1022</v>
      </c>
      <c r="B322" s="1157">
        <v>1000</v>
      </c>
      <c r="C322" s="1161">
        <v>0.84</v>
      </c>
      <c r="D322" s="1157">
        <v>0.23</v>
      </c>
      <c r="E322" s="1157">
        <v>15</v>
      </c>
      <c r="F322" s="1157">
        <v>22</v>
      </c>
      <c r="G322" s="1157">
        <v>0.44</v>
      </c>
      <c r="H322" s="1157">
        <v>0.5</v>
      </c>
    </row>
    <row r="323" spans="1:8" s="1146" customFormat="1" ht="13.5" customHeight="1" x14ac:dyDescent="0.25">
      <c r="A323" s="1165" t="s">
        <v>1019</v>
      </c>
      <c r="B323" s="1164">
        <v>800</v>
      </c>
      <c r="C323" s="1161">
        <v>0.84</v>
      </c>
      <c r="D323" s="1157">
        <v>0.17</v>
      </c>
      <c r="E323" s="1157">
        <v>15</v>
      </c>
      <c r="F323" s="1157">
        <v>22</v>
      </c>
      <c r="G323" s="1157">
        <v>0.35</v>
      </c>
      <c r="H323" s="1157">
        <v>0.41</v>
      </c>
    </row>
    <row r="324" spans="1:8" s="1146" customFormat="1" ht="13.5" customHeight="1" x14ac:dyDescent="0.25">
      <c r="A324" s="1870" t="s">
        <v>1116</v>
      </c>
      <c r="B324" s="1870"/>
      <c r="C324" s="1870"/>
      <c r="D324" s="1870"/>
      <c r="E324" s="1870"/>
      <c r="F324" s="1870"/>
      <c r="G324" s="1870"/>
      <c r="H324" s="1870"/>
    </row>
    <row r="325" spans="1:8" s="1146" customFormat="1" ht="13.5" customHeight="1" x14ac:dyDescent="0.25">
      <c r="A325" s="1157" t="s">
        <v>1117</v>
      </c>
      <c r="B325" s="1157">
        <v>1800</v>
      </c>
      <c r="C325" s="1161">
        <v>0.88</v>
      </c>
      <c r="D325" s="1157">
        <v>0.56000000000000005</v>
      </c>
      <c r="E325" s="1157">
        <v>1</v>
      </c>
      <c r="F325" s="1157">
        <v>2</v>
      </c>
      <c r="G325" s="1157">
        <v>0.7</v>
      </c>
      <c r="H325" s="1157">
        <v>0.81</v>
      </c>
    </row>
    <row r="326" spans="1:8" s="1146" customFormat="1" ht="13.5" customHeight="1" x14ac:dyDescent="0.25">
      <c r="A326" s="1157" t="s">
        <v>1118</v>
      </c>
      <c r="B326" s="1157">
        <v>1700</v>
      </c>
      <c r="C326" s="1161">
        <v>0.88</v>
      </c>
      <c r="D326" s="1157">
        <v>0.52</v>
      </c>
      <c r="E326" s="1157">
        <v>1.5</v>
      </c>
      <c r="F326" s="1157">
        <v>3</v>
      </c>
      <c r="G326" s="1157">
        <v>0.64</v>
      </c>
      <c r="H326" s="1157">
        <v>0.76</v>
      </c>
    </row>
    <row r="327" spans="1:8" s="1146" customFormat="1" ht="13.5" customHeight="1" x14ac:dyDescent="0.25">
      <c r="A327" s="1157" t="s">
        <v>1119</v>
      </c>
      <c r="B327" s="1157">
        <v>1600</v>
      </c>
      <c r="C327" s="1161">
        <v>0.88</v>
      </c>
      <c r="D327" s="1157">
        <v>0.47</v>
      </c>
      <c r="E327" s="1157">
        <v>2</v>
      </c>
      <c r="F327" s="1157">
        <v>4</v>
      </c>
      <c r="G327" s="1157">
        <v>0.57999999999999996</v>
      </c>
      <c r="H327" s="1157">
        <v>0.7</v>
      </c>
    </row>
    <row r="328" spans="1:8" s="1146" customFormat="1" ht="13.5" customHeight="1" x14ac:dyDescent="0.25">
      <c r="A328" s="1157" t="s">
        <v>1120</v>
      </c>
      <c r="B328" s="1157">
        <v>1800</v>
      </c>
      <c r="C328" s="1161">
        <v>0.88</v>
      </c>
      <c r="D328" s="1157">
        <v>0.7</v>
      </c>
      <c r="E328" s="1157">
        <v>2</v>
      </c>
      <c r="F328" s="1157">
        <v>4</v>
      </c>
      <c r="G328" s="1157">
        <v>0.76</v>
      </c>
      <c r="H328" s="1157">
        <v>0.87</v>
      </c>
    </row>
    <row r="329" spans="1:8" s="1146" customFormat="1" ht="13.5" customHeight="1" x14ac:dyDescent="0.25">
      <c r="A329" s="1157" t="s">
        <v>1121</v>
      </c>
      <c r="B329" s="1157">
        <v>1200</v>
      </c>
      <c r="C329" s="1161">
        <v>0.88</v>
      </c>
      <c r="D329" s="1157">
        <v>0.35</v>
      </c>
      <c r="E329" s="1157">
        <v>2</v>
      </c>
      <c r="F329" s="1157">
        <v>4</v>
      </c>
      <c r="G329" s="1157">
        <v>0.47</v>
      </c>
      <c r="H329" s="1157">
        <v>0.52</v>
      </c>
    </row>
    <row r="330" spans="1:8" s="1146" customFormat="1" ht="13.5" customHeight="1" x14ac:dyDescent="0.25">
      <c r="A330" s="1157" t="s">
        <v>1022</v>
      </c>
      <c r="B330" s="1157">
        <v>1000</v>
      </c>
      <c r="C330" s="1161">
        <v>0.88</v>
      </c>
      <c r="D330" s="1157">
        <v>0.28999999999999998</v>
      </c>
      <c r="E330" s="1157">
        <v>2</v>
      </c>
      <c r="F330" s="1157">
        <v>4</v>
      </c>
      <c r="G330" s="1157">
        <v>0.41</v>
      </c>
      <c r="H330" s="1157">
        <v>0.47</v>
      </c>
    </row>
    <row r="331" spans="1:8" s="1146" customFormat="1" ht="13.5" customHeight="1" x14ac:dyDescent="0.25">
      <c r="A331" s="1157" t="s">
        <v>1122</v>
      </c>
      <c r="B331" s="1157">
        <v>1500</v>
      </c>
      <c r="C331" s="1161">
        <v>0.88</v>
      </c>
      <c r="D331" s="1157">
        <v>0.52</v>
      </c>
      <c r="E331" s="1157">
        <v>1.5</v>
      </c>
      <c r="F331" s="1157">
        <v>3</v>
      </c>
      <c r="G331" s="1157">
        <v>0.64</v>
      </c>
      <c r="H331" s="1157">
        <v>0.7</v>
      </c>
    </row>
    <row r="332" spans="1:8" s="1146" customFormat="1" ht="13.5" customHeight="1" x14ac:dyDescent="0.25">
      <c r="A332" s="1870" t="s">
        <v>1123</v>
      </c>
      <c r="B332" s="1870"/>
      <c r="C332" s="1870"/>
      <c r="D332" s="1870"/>
      <c r="E332" s="1870"/>
      <c r="F332" s="1870"/>
      <c r="G332" s="1870"/>
      <c r="H332" s="1870"/>
    </row>
    <row r="333" spans="1:8" s="1146" customFormat="1" ht="13.5" customHeight="1" x14ac:dyDescent="0.25">
      <c r="A333" s="1157" t="s">
        <v>1124</v>
      </c>
      <c r="B333" s="1157">
        <v>1600</v>
      </c>
      <c r="C333" s="1161">
        <v>0.88</v>
      </c>
      <c r="D333" s="1157">
        <v>0.47</v>
      </c>
      <c r="E333" s="1157">
        <v>1</v>
      </c>
      <c r="F333" s="1157">
        <v>2</v>
      </c>
      <c r="G333" s="1157">
        <v>0.57999999999999996</v>
      </c>
      <c r="H333" s="1157">
        <v>0.64</v>
      </c>
    </row>
    <row r="334" spans="1:8" s="1146" customFormat="1" ht="13.5" customHeight="1" x14ac:dyDescent="0.25">
      <c r="A334" s="1157" t="s">
        <v>1125</v>
      </c>
      <c r="B334" s="1157">
        <v>1400</v>
      </c>
      <c r="C334" s="1161">
        <v>0.88</v>
      </c>
      <c r="D334" s="1157">
        <v>0.41</v>
      </c>
      <c r="E334" s="1157">
        <v>1</v>
      </c>
      <c r="F334" s="1157">
        <v>2</v>
      </c>
      <c r="G334" s="1157">
        <v>0.52</v>
      </c>
      <c r="H334" s="1157">
        <v>0.57999999999999996</v>
      </c>
    </row>
    <row r="335" spans="1:8" s="1146" customFormat="1" ht="13.5" customHeight="1" x14ac:dyDescent="0.25">
      <c r="A335" s="1157" t="s">
        <v>1126</v>
      </c>
      <c r="B335" s="1157">
        <v>1200</v>
      </c>
      <c r="C335" s="1161">
        <v>0.88</v>
      </c>
      <c r="D335" s="1157">
        <v>0.35</v>
      </c>
      <c r="E335" s="1157">
        <v>1</v>
      </c>
      <c r="F335" s="1157">
        <v>2</v>
      </c>
      <c r="G335" s="1157">
        <v>0.47</v>
      </c>
      <c r="H335" s="1157">
        <v>0.52</v>
      </c>
    </row>
    <row r="336" spans="1:8" s="1146" customFormat="1" ht="13.5" customHeight="1" x14ac:dyDescent="0.25">
      <c r="A336" s="1157" t="s">
        <v>1127</v>
      </c>
      <c r="B336" s="1157">
        <v>1500</v>
      </c>
      <c r="C336" s="1161">
        <v>0.88</v>
      </c>
      <c r="D336" s="1157">
        <v>0.64</v>
      </c>
      <c r="E336" s="1157">
        <v>2</v>
      </c>
      <c r="F336" s="1157">
        <v>4</v>
      </c>
      <c r="G336" s="1157">
        <v>0.7</v>
      </c>
      <c r="H336" s="1157">
        <v>0.81</v>
      </c>
    </row>
    <row r="337" spans="1:10" s="1146" customFormat="1" ht="13.5" customHeight="1" x14ac:dyDescent="0.25">
      <c r="A337" s="1157" t="s">
        <v>1128</v>
      </c>
      <c r="B337" s="1860">
        <v>1400</v>
      </c>
      <c r="C337" s="1863">
        <v>0.88</v>
      </c>
      <c r="D337" s="1860">
        <v>0.52</v>
      </c>
      <c r="E337" s="1860">
        <v>2</v>
      </c>
      <c r="F337" s="1860">
        <v>4</v>
      </c>
      <c r="G337" s="1860">
        <v>0.64</v>
      </c>
      <c r="H337" s="1860">
        <v>0.76</v>
      </c>
    </row>
    <row r="338" spans="1:10" s="1146" customFormat="1" ht="13.5" customHeight="1" x14ac:dyDescent="0.25">
      <c r="A338" s="1157" t="s">
        <v>1129</v>
      </c>
      <c r="B338" s="1860"/>
      <c r="C338" s="1863"/>
      <c r="D338" s="1860"/>
      <c r="E338" s="1860"/>
      <c r="F338" s="1860"/>
      <c r="G338" s="1860"/>
      <c r="H338" s="1860"/>
    </row>
    <row r="339" spans="1:10" s="1146" customFormat="1" ht="13.5" customHeight="1" x14ac:dyDescent="0.25">
      <c r="A339" s="1861" t="s">
        <v>1130</v>
      </c>
      <c r="B339" s="1861"/>
      <c r="C339" s="1861"/>
      <c r="D339" s="1861"/>
      <c r="E339" s="1861"/>
      <c r="F339" s="1861"/>
      <c r="G339" s="1861"/>
      <c r="H339" s="1861"/>
    </row>
    <row r="340" spans="1:10" s="1146" customFormat="1" ht="13.5" customHeight="1" x14ac:dyDescent="0.25">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25">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25">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25">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25">
      <c r="A344" s="1157" t="s">
        <v>1135</v>
      </c>
      <c r="B344" s="1157">
        <v>600</v>
      </c>
      <c r="C344" s="1161">
        <v>2.2999999999999998</v>
      </c>
      <c r="D344" s="1157">
        <v>0.12</v>
      </c>
      <c r="E344" s="1157">
        <v>10</v>
      </c>
      <c r="F344" s="1157">
        <v>13</v>
      </c>
      <c r="G344" s="1157">
        <v>0.15</v>
      </c>
      <c r="H344" s="1157">
        <v>0.18</v>
      </c>
    </row>
    <row r="345" spans="1:10" s="1146" customFormat="1" ht="13.5" customHeight="1" x14ac:dyDescent="0.25">
      <c r="A345" s="1157" t="s">
        <v>1136</v>
      </c>
      <c r="B345" s="1157">
        <v>1000</v>
      </c>
      <c r="C345" s="1161">
        <v>2.2999999999999998</v>
      </c>
      <c r="D345" s="1157">
        <v>0.18</v>
      </c>
      <c r="E345" s="1157">
        <v>5</v>
      </c>
      <c r="F345" s="1157">
        <v>10</v>
      </c>
      <c r="G345" s="1157">
        <v>0.21</v>
      </c>
      <c r="H345" s="1157">
        <v>0.23</v>
      </c>
    </row>
    <row r="346" spans="1:10" s="1146" customFormat="1" ht="13.5" customHeight="1" x14ac:dyDescent="0.25">
      <c r="A346" s="1157" t="s">
        <v>1137</v>
      </c>
      <c r="B346" s="1157">
        <v>650</v>
      </c>
      <c r="C346" s="1161">
        <v>2.2999999999999998</v>
      </c>
      <c r="D346" s="1157">
        <v>0.13</v>
      </c>
      <c r="E346" s="1157">
        <v>6</v>
      </c>
      <c r="F346" s="1157">
        <v>12</v>
      </c>
      <c r="G346" s="1157">
        <v>0.15</v>
      </c>
      <c r="H346" s="1157">
        <v>0.18</v>
      </c>
    </row>
    <row r="347" spans="1:10" s="1146" customFormat="1" ht="13.5" customHeight="1" x14ac:dyDescent="0.25">
      <c r="A347" s="1862" t="s">
        <v>1138</v>
      </c>
      <c r="B347" s="1862"/>
      <c r="C347" s="1862"/>
      <c r="D347" s="1862"/>
      <c r="E347" s="1862"/>
      <c r="F347" s="1862"/>
      <c r="G347" s="1862"/>
      <c r="H347" s="1862"/>
      <c r="J347" s="1146">
        <v>4.1000000000000002E-2</v>
      </c>
    </row>
    <row r="348" spans="1:10" s="1146" customFormat="1" ht="13.5" customHeight="1" x14ac:dyDescent="0.25">
      <c r="A348" s="1861" t="s">
        <v>1139</v>
      </c>
      <c r="B348" s="1861"/>
      <c r="C348" s="1861"/>
      <c r="D348" s="1861"/>
      <c r="E348" s="1861"/>
      <c r="F348" s="1861"/>
      <c r="G348" s="1861"/>
      <c r="H348" s="1861"/>
    </row>
    <row r="349" spans="1:10" s="1146" customFormat="1" ht="13.5" customHeight="1" x14ac:dyDescent="0.25">
      <c r="A349" s="1166" t="s">
        <v>1140</v>
      </c>
      <c r="B349" s="1157">
        <v>2500</v>
      </c>
      <c r="C349" s="1157">
        <v>0.84</v>
      </c>
      <c r="D349" s="1157">
        <v>1.69</v>
      </c>
      <c r="E349" s="1157">
        <v>2</v>
      </c>
      <c r="F349" s="1157">
        <v>3</v>
      </c>
      <c r="G349" s="1157">
        <v>1.92</v>
      </c>
      <c r="H349" s="1157">
        <v>2.04</v>
      </c>
    </row>
    <row r="350" spans="1:10" s="1146" customFormat="1" ht="13.5" customHeight="1" x14ac:dyDescent="0.25">
      <c r="A350" s="1157" t="s">
        <v>1141</v>
      </c>
      <c r="B350" s="1157">
        <v>2400</v>
      </c>
      <c r="C350" s="1157">
        <v>0.84</v>
      </c>
      <c r="D350" s="1157">
        <v>1.51</v>
      </c>
      <c r="E350" s="1157">
        <v>2</v>
      </c>
      <c r="F350" s="1157">
        <v>3</v>
      </c>
      <c r="G350" s="1157">
        <v>1.74</v>
      </c>
      <c r="H350" s="1157">
        <v>1.86</v>
      </c>
    </row>
    <row r="351" spans="1:10" s="1146" customFormat="1" ht="13.5" customHeight="1" x14ac:dyDescent="0.25">
      <c r="A351" s="1157" t="s">
        <v>1142</v>
      </c>
      <c r="B351" s="1157">
        <v>1800</v>
      </c>
      <c r="C351" s="1157">
        <v>0.84</v>
      </c>
      <c r="D351" s="1157">
        <v>0.57999999999999996</v>
      </c>
      <c r="E351" s="1157">
        <v>2</v>
      </c>
      <c r="F351" s="1157">
        <v>4</v>
      </c>
      <c r="G351" s="1157">
        <v>0.76</v>
      </c>
      <c r="H351" s="1157">
        <v>0.93</v>
      </c>
    </row>
    <row r="352" spans="1:10" s="1146" customFormat="1" ht="13.5" customHeight="1" x14ac:dyDescent="0.25">
      <c r="A352" s="1157" t="s">
        <v>1143</v>
      </c>
      <c r="B352" s="1157">
        <v>1700</v>
      </c>
      <c r="C352" s="1157">
        <v>0.84</v>
      </c>
      <c r="D352" s="1157">
        <v>0.52</v>
      </c>
      <c r="E352" s="1157">
        <v>2</v>
      </c>
      <c r="F352" s="1157">
        <v>4</v>
      </c>
      <c r="G352" s="1157">
        <v>0.7</v>
      </c>
      <c r="H352" s="1157">
        <v>0.87</v>
      </c>
    </row>
    <row r="353" spans="1:8" s="1146" customFormat="1" ht="13.5" customHeight="1" x14ac:dyDescent="0.25">
      <c r="A353" s="1157" t="s">
        <v>1144</v>
      </c>
      <c r="B353" s="1157">
        <v>1600</v>
      </c>
      <c r="C353" s="1157">
        <v>0.84</v>
      </c>
      <c r="D353" s="1157">
        <v>0.47</v>
      </c>
      <c r="E353" s="1157">
        <v>2</v>
      </c>
      <c r="F353" s="1157">
        <v>4</v>
      </c>
      <c r="G353" s="1157">
        <v>0.7</v>
      </c>
      <c r="H353" s="1157">
        <v>0.81</v>
      </c>
    </row>
    <row r="354" spans="1:8" s="1146" customFormat="1" ht="13.5" customHeight="1" x14ac:dyDescent="0.25">
      <c r="A354" s="1861" t="s">
        <v>1145</v>
      </c>
      <c r="B354" s="1861"/>
      <c r="C354" s="1861"/>
      <c r="D354" s="1861"/>
      <c r="E354" s="1861"/>
      <c r="F354" s="1861"/>
      <c r="G354" s="1861"/>
      <c r="H354" s="1861"/>
    </row>
    <row r="355" spans="1:8" s="1146" customFormat="1" ht="13.5" customHeight="1" x14ac:dyDescent="0.25">
      <c r="A355" s="1157" t="s">
        <v>1146</v>
      </c>
      <c r="B355" s="1157">
        <v>2800</v>
      </c>
      <c r="C355" s="1157">
        <v>0.88</v>
      </c>
      <c r="D355" s="1157">
        <v>3.49</v>
      </c>
      <c r="E355" s="1157">
        <v>0</v>
      </c>
      <c r="F355" s="1157">
        <v>0</v>
      </c>
      <c r="G355" s="1157">
        <v>3.49</v>
      </c>
      <c r="H355" s="1157">
        <v>3.49</v>
      </c>
    </row>
    <row r="356" spans="1:8" s="1146" customFormat="1" ht="13.5" customHeight="1" x14ac:dyDescent="0.25">
      <c r="A356" s="1157" t="s">
        <v>1147</v>
      </c>
      <c r="B356" s="1157">
        <v>2800</v>
      </c>
      <c r="C356" s="1157">
        <v>0.88</v>
      </c>
      <c r="D356" s="1157">
        <v>2.91</v>
      </c>
      <c r="E356" s="1157">
        <v>0</v>
      </c>
      <c r="F356" s="1157">
        <v>0</v>
      </c>
      <c r="G356" s="1157">
        <v>2.91</v>
      </c>
      <c r="H356" s="1157">
        <v>2.91</v>
      </c>
    </row>
    <row r="357" spans="1:8" s="1146" customFormat="1" ht="13.5" customHeight="1" x14ac:dyDescent="0.25">
      <c r="A357" s="1157" t="s">
        <v>1148</v>
      </c>
      <c r="B357" s="1157">
        <v>2000</v>
      </c>
      <c r="C357" s="1157">
        <v>0.88</v>
      </c>
      <c r="D357" s="1157">
        <v>0.93</v>
      </c>
      <c r="E357" s="1157">
        <v>2</v>
      </c>
      <c r="F357" s="1157">
        <v>3</v>
      </c>
      <c r="G357" s="1157">
        <v>1.1599999999999999</v>
      </c>
      <c r="H357" s="1157">
        <v>1.28</v>
      </c>
    </row>
    <row r="358" spans="1:8" s="1146" customFormat="1" ht="13.5" customHeight="1" x14ac:dyDescent="0.25">
      <c r="A358" s="1167" t="s">
        <v>1019</v>
      </c>
      <c r="B358" s="1157">
        <v>1800</v>
      </c>
      <c r="C358" s="1157">
        <v>0.88</v>
      </c>
      <c r="D358" s="1157">
        <v>0.7</v>
      </c>
      <c r="E358" s="1157">
        <v>2</v>
      </c>
      <c r="F358" s="1157">
        <v>3</v>
      </c>
      <c r="G358" s="1157">
        <v>0.93</v>
      </c>
      <c r="H358" s="1157">
        <v>1.05</v>
      </c>
    </row>
    <row r="359" spans="1:8" s="1146" customFormat="1" ht="13.5" customHeight="1" x14ac:dyDescent="0.25">
      <c r="A359" s="1157" t="s">
        <v>1148</v>
      </c>
      <c r="B359" s="1157">
        <v>1600</v>
      </c>
      <c r="C359" s="1157">
        <v>0.88</v>
      </c>
      <c r="D359" s="1157">
        <v>0.57999999999999996</v>
      </c>
      <c r="E359" s="1157">
        <v>2</v>
      </c>
      <c r="F359" s="1157">
        <v>3</v>
      </c>
      <c r="G359" s="1157">
        <v>0.73</v>
      </c>
      <c r="H359" s="1157">
        <v>0.81</v>
      </c>
    </row>
    <row r="360" spans="1:8" s="1146" customFormat="1" ht="13.5" customHeight="1" x14ac:dyDescent="0.25">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25">
      <c r="A361" s="1157" t="s">
        <v>1149</v>
      </c>
      <c r="B361" s="1157">
        <v>2000</v>
      </c>
      <c r="C361" s="1157">
        <v>0.88</v>
      </c>
      <c r="D361" s="1157">
        <v>0.76</v>
      </c>
      <c r="E361" s="1157">
        <v>3</v>
      </c>
      <c r="F361" s="1157">
        <v>5</v>
      </c>
      <c r="G361" s="1157">
        <v>0.93</v>
      </c>
      <c r="H361" s="1157">
        <v>1.05</v>
      </c>
    </row>
    <row r="362" spans="1:8" s="1146" customFormat="1" ht="13.5" customHeight="1" x14ac:dyDescent="0.25">
      <c r="A362" s="1167" t="s">
        <v>1019</v>
      </c>
      <c r="B362" s="1157">
        <v>1800</v>
      </c>
      <c r="C362" s="1157">
        <v>0.88</v>
      </c>
      <c r="D362" s="1157">
        <v>0.56000000000000005</v>
      </c>
      <c r="E362" s="1157">
        <v>3</v>
      </c>
      <c r="F362" s="1157">
        <v>5</v>
      </c>
      <c r="G362" s="1157">
        <v>0.7</v>
      </c>
      <c r="H362" s="1157">
        <v>0.81</v>
      </c>
    </row>
    <row r="363" spans="1:8" s="1146" customFormat="1" ht="13.5" customHeight="1" x14ac:dyDescent="0.25">
      <c r="A363" s="1167" t="s">
        <v>1019</v>
      </c>
      <c r="B363" s="1157">
        <v>1600</v>
      </c>
      <c r="C363" s="1157">
        <v>0.88</v>
      </c>
      <c r="D363" s="1157">
        <v>0.41</v>
      </c>
      <c r="E363" s="1157">
        <v>3</v>
      </c>
      <c r="F363" s="1157">
        <v>5</v>
      </c>
      <c r="G363" s="1157">
        <v>0.52</v>
      </c>
      <c r="H363" s="1157">
        <v>0.64</v>
      </c>
    </row>
    <row r="364" spans="1:8" s="1146" customFormat="1" ht="13.5" customHeight="1" x14ac:dyDescent="0.25">
      <c r="A364" s="1167" t="s">
        <v>1019</v>
      </c>
      <c r="B364" s="1157">
        <v>1400</v>
      </c>
      <c r="C364" s="1157">
        <v>0.88</v>
      </c>
      <c r="D364" s="1157">
        <v>0.33</v>
      </c>
      <c r="E364" s="1157">
        <v>3</v>
      </c>
      <c r="F364" s="1157">
        <v>5</v>
      </c>
      <c r="G364" s="1157">
        <v>0.43</v>
      </c>
      <c r="H364" s="1157">
        <v>0.52</v>
      </c>
    </row>
    <row r="365" spans="1:8" s="1146" customFormat="1" ht="13.5" customHeight="1" x14ac:dyDescent="0.25">
      <c r="A365" s="1167" t="s">
        <v>1019</v>
      </c>
      <c r="B365" s="1157">
        <v>1200</v>
      </c>
      <c r="C365" s="1157">
        <v>0.88</v>
      </c>
      <c r="D365" s="1157">
        <v>0.27</v>
      </c>
      <c r="E365" s="1157">
        <v>3</v>
      </c>
      <c r="F365" s="1157">
        <v>5</v>
      </c>
      <c r="G365" s="1157">
        <v>0.35</v>
      </c>
      <c r="H365" s="1157">
        <v>0.41</v>
      </c>
    </row>
    <row r="366" spans="1:8" s="1146" customFormat="1" ht="13.5" customHeight="1" x14ac:dyDescent="0.25">
      <c r="A366" s="1167" t="s">
        <v>1019</v>
      </c>
      <c r="B366" s="1157">
        <v>1000</v>
      </c>
      <c r="C366" s="1157">
        <v>0.88</v>
      </c>
      <c r="D366" s="1157">
        <v>0.21</v>
      </c>
      <c r="E366" s="1157">
        <v>3</v>
      </c>
      <c r="F366" s="1157">
        <v>5</v>
      </c>
      <c r="G366" s="1157">
        <v>0.24</v>
      </c>
      <c r="H366" s="1157">
        <v>0.28999999999999998</v>
      </c>
    </row>
    <row r="367" spans="1:8" s="1146" customFormat="1" ht="13.5" customHeight="1" x14ac:dyDescent="0.25">
      <c r="A367" s="1866" t="s">
        <v>1150</v>
      </c>
      <c r="B367" s="1866"/>
      <c r="C367" s="1866"/>
      <c r="D367" s="1866"/>
      <c r="E367" s="1866"/>
      <c r="F367" s="1866"/>
      <c r="G367" s="1866"/>
      <c r="H367" s="1866"/>
    </row>
    <row r="368" spans="1:8" s="1146" customFormat="1" ht="13.5" customHeight="1" x14ac:dyDescent="0.25">
      <c r="A368" s="1157" t="s">
        <v>1151</v>
      </c>
      <c r="B368" s="1157">
        <v>1800</v>
      </c>
      <c r="C368" s="1157">
        <v>0.84</v>
      </c>
      <c r="D368" s="1157">
        <v>0.35</v>
      </c>
      <c r="E368" s="1157">
        <v>2</v>
      </c>
      <c r="F368" s="1157">
        <v>3</v>
      </c>
      <c r="G368" s="1157">
        <v>0.47</v>
      </c>
      <c r="H368" s="1157">
        <v>0.52</v>
      </c>
    </row>
    <row r="369" spans="1:15" s="1146" customFormat="1" ht="13.5" customHeight="1" x14ac:dyDescent="0.25">
      <c r="A369" s="1157" t="s">
        <v>1022</v>
      </c>
      <c r="B369" s="1157">
        <v>1600</v>
      </c>
      <c r="C369" s="1157">
        <v>0.84</v>
      </c>
      <c r="D369" s="1157">
        <v>0.23</v>
      </c>
      <c r="E369" s="1157">
        <v>2</v>
      </c>
      <c r="F369" s="1157">
        <v>3</v>
      </c>
      <c r="G369" s="1157">
        <v>0.35</v>
      </c>
      <c r="H369" s="1157">
        <v>0.41</v>
      </c>
    </row>
    <row r="370" spans="1:15" ht="24" x14ac:dyDescent="0.25">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25">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25">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25">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25">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25">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25">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25">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25">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25">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25">
      <c r="A380" s="1861" t="s">
        <v>1157</v>
      </c>
      <c r="B380" s="1861"/>
      <c r="C380" s="1861"/>
      <c r="D380" s="1861"/>
      <c r="E380" s="1861"/>
      <c r="F380" s="1861"/>
      <c r="G380" s="1861"/>
      <c r="H380" s="1861"/>
      <c r="I380" s="1146"/>
      <c r="J380" s="1146"/>
      <c r="K380" s="1146"/>
      <c r="L380" s="1146"/>
      <c r="M380" s="1146"/>
      <c r="N380" s="1146"/>
      <c r="O380" s="1146"/>
    </row>
    <row r="381" spans="1:15" ht="24" x14ac:dyDescent="0.25">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25">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25">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25">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25">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25">
      <c r="A389" s="1168"/>
    </row>
    <row r="390" spans="1:15" x14ac:dyDescent="0.25">
      <c r="A390" s="1168" t="s">
        <v>1513</v>
      </c>
    </row>
    <row r="391" spans="1:15" x14ac:dyDescent="0.25">
      <c r="A391" s="1169"/>
      <c r="B391" s="95" t="s">
        <v>1504</v>
      </c>
      <c r="C391" s="95" t="s">
        <v>1505</v>
      </c>
      <c r="D391" s="95" t="s">
        <v>1506</v>
      </c>
      <c r="E391" s="95" t="s">
        <v>1507</v>
      </c>
    </row>
    <row r="392" spans="1:15" x14ac:dyDescent="0.25">
      <c r="A392" s="1169">
        <v>2000</v>
      </c>
      <c r="B392" s="95">
        <v>1.2</v>
      </c>
      <c r="C392" s="95">
        <v>1.8</v>
      </c>
      <c r="D392" s="95">
        <v>1.6</v>
      </c>
      <c r="E392" s="95">
        <v>0.35</v>
      </c>
    </row>
    <row r="393" spans="1:15" x14ac:dyDescent="0.25">
      <c r="A393" s="1169">
        <v>4000</v>
      </c>
      <c r="B393" s="95">
        <v>1.6</v>
      </c>
      <c r="C393" s="95">
        <v>2.5</v>
      </c>
      <c r="D393" s="95">
        <v>2.2000000000000002</v>
      </c>
      <c r="E393" s="95">
        <v>0.4</v>
      </c>
    </row>
    <row r="394" spans="1:15" x14ac:dyDescent="0.25">
      <c r="A394" s="1169">
        <v>6000</v>
      </c>
      <c r="B394" s="95">
        <v>2</v>
      </c>
      <c r="C394" s="95">
        <v>3.2</v>
      </c>
      <c r="D394" s="95">
        <v>2.8</v>
      </c>
      <c r="E394" s="95">
        <v>0.45</v>
      </c>
    </row>
    <row r="395" spans="1:15" x14ac:dyDescent="0.25">
      <c r="A395" s="1169">
        <v>8000</v>
      </c>
      <c r="B395" s="95">
        <v>2.4</v>
      </c>
      <c r="C395" s="95">
        <v>3.9</v>
      </c>
      <c r="D395" s="95">
        <v>3.4</v>
      </c>
      <c r="E395" s="95">
        <v>0.5</v>
      </c>
    </row>
    <row r="396" spans="1:15" x14ac:dyDescent="0.25">
      <c r="A396" s="1169">
        <v>10000</v>
      </c>
      <c r="B396" s="95">
        <v>2.8</v>
      </c>
      <c r="C396" s="95">
        <v>4.5999999999999996</v>
      </c>
      <c r="D396" s="95">
        <v>4</v>
      </c>
      <c r="E396" s="95">
        <v>0.55000000000000004</v>
      </c>
    </row>
    <row r="397" spans="1:15" x14ac:dyDescent="0.25">
      <c r="A397" s="1169">
        <v>12000</v>
      </c>
      <c r="B397" s="95">
        <v>3.2</v>
      </c>
      <c r="C397" s="95">
        <v>5.3</v>
      </c>
      <c r="D397" s="95">
        <v>4.5999999999999996</v>
      </c>
      <c r="E397" s="95">
        <v>0.6</v>
      </c>
    </row>
    <row r="398" spans="1:15" x14ac:dyDescent="0.25">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25">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25">
      <c r="A400" s="1168" t="s">
        <v>1514</v>
      </c>
    </row>
    <row r="401" spans="1:5" x14ac:dyDescent="0.25">
      <c r="A401" s="1169"/>
      <c r="B401" s="95" t="s">
        <v>1504</v>
      </c>
      <c r="C401" s="95" t="s">
        <v>1505</v>
      </c>
      <c r="D401" s="95" t="s">
        <v>1506</v>
      </c>
      <c r="E401" s="95" t="s">
        <v>1507</v>
      </c>
    </row>
    <row r="402" spans="1:5" x14ac:dyDescent="0.25">
      <c r="A402" s="1169">
        <v>2000</v>
      </c>
      <c r="B402" s="95">
        <v>2.1</v>
      </c>
      <c r="C402" s="95">
        <v>3.2</v>
      </c>
      <c r="D402" s="95">
        <v>2.8</v>
      </c>
      <c r="E402" s="95">
        <v>0.35</v>
      </c>
    </row>
    <row r="403" spans="1:5" x14ac:dyDescent="0.25">
      <c r="A403" s="1169">
        <v>4000</v>
      </c>
      <c r="B403" s="95">
        <v>2.8</v>
      </c>
      <c r="C403" s="95">
        <v>4.2</v>
      </c>
      <c r="D403" s="95">
        <v>3.7</v>
      </c>
      <c r="E403" s="95">
        <v>0.4</v>
      </c>
    </row>
    <row r="404" spans="1:5" x14ac:dyDescent="0.25">
      <c r="A404" s="1169">
        <v>6000</v>
      </c>
      <c r="B404" s="95">
        <v>3.5</v>
      </c>
      <c r="C404" s="95">
        <v>5.2</v>
      </c>
      <c r="D404" s="95">
        <v>4.5999999999999996</v>
      </c>
      <c r="E404" s="95">
        <v>0.45</v>
      </c>
    </row>
    <row r="405" spans="1:5" x14ac:dyDescent="0.25">
      <c r="A405" s="1169">
        <v>8000</v>
      </c>
      <c r="B405" s="95">
        <v>4.2</v>
      </c>
      <c r="C405" s="95">
        <v>6.2</v>
      </c>
      <c r="D405" s="95">
        <v>5.5</v>
      </c>
      <c r="E405" s="95">
        <v>0.5</v>
      </c>
    </row>
    <row r="406" spans="1:5" x14ac:dyDescent="0.25">
      <c r="A406" s="1169">
        <v>10000</v>
      </c>
      <c r="B406" s="95">
        <v>4.9000000000000004</v>
      </c>
      <c r="C406" s="95">
        <v>7.2</v>
      </c>
      <c r="D406" s="95">
        <v>6.4</v>
      </c>
      <c r="E406" s="95">
        <v>0.55000000000000004</v>
      </c>
    </row>
    <row r="407" spans="1:5" x14ac:dyDescent="0.25">
      <c r="A407" s="1169">
        <v>12000</v>
      </c>
      <c r="B407" s="95">
        <v>5.6</v>
      </c>
      <c r="C407" s="95">
        <v>8.1999999999999993</v>
      </c>
      <c r="D407" s="95">
        <v>7.3</v>
      </c>
      <c r="E407" s="95">
        <v>0.6</v>
      </c>
    </row>
    <row r="408" spans="1:5" x14ac:dyDescent="0.25">
      <c r="B408" s="75">
        <f>SLOPE(B402:B407,$A$402:$A$407)</f>
        <v>3.5E-4</v>
      </c>
      <c r="C408" s="75">
        <f t="shared" ref="C408:E408" si="12">SLOPE(C402:C407,$A$402:$A$407)</f>
        <v>5.0000000000000001E-4</v>
      </c>
      <c r="D408" s="75">
        <f t="shared" si="12"/>
        <v>4.4999999999999999E-4</v>
      </c>
      <c r="E408" s="75">
        <f t="shared" si="12"/>
        <v>2.5000000000000001E-5</v>
      </c>
    </row>
    <row r="409" spans="1:5" x14ac:dyDescent="0.25">
      <c r="B409" s="75">
        <f>INTERCEPT(B402:B407,$A$402:$A$407)</f>
        <v>1.4</v>
      </c>
      <c r="C409" s="75">
        <f t="shared" ref="C409:E409" si="13">INTERCEPT(C402:C407,$A$402:$A$407)</f>
        <v>2.2000000000000002</v>
      </c>
      <c r="D409" s="75">
        <f t="shared" si="13"/>
        <v>1.9</v>
      </c>
      <c r="E409" s="75">
        <f t="shared" si="13"/>
        <v>0.30000000000000004</v>
      </c>
    </row>
    <row r="410" spans="1:5" x14ac:dyDescent="0.25">
      <c r="A410" s="101" t="s">
        <v>1508</v>
      </c>
    </row>
    <row r="411" spans="1:5" x14ac:dyDescent="0.25">
      <c r="A411" s="95"/>
      <c r="B411" s="95" t="s">
        <v>1511</v>
      </c>
      <c r="C411" s="95" t="s">
        <v>1512</v>
      </c>
    </row>
    <row r="412" spans="1:5" x14ac:dyDescent="0.25">
      <c r="A412" s="95" t="s">
        <v>514</v>
      </c>
      <c r="B412" s="285">
        <f>B399+B398*Климатология!$I$2</f>
        <v>1.9536199999999997</v>
      </c>
      <c r="C412" s="285">
        <f>B409+B408*Климатология!$I$2</f>
        <v>3.4188350000000001</v>
      </c>
    </row>
    <row r="413" spans="1:5" x14ac:dyDescent="0.25">
      <c r="A413" s="95" t="s">
        <v>1505</v>
      </c>
      <c r="B413" s="285">
        <f>C399+C398*Климатология!$I$2</f>
        <v>3.1188350000000002</v>
      </c>
      <c r="C413" s="285">
        <f>C409+C408*Климатология!$I$2</f>
        <v>5.0840500000000004</v>
      </c>
    </row>
    <row r="414" spans="1:5" x14ac:dyDescent="0.25">
      <c r="A414" s="95" t="s">
        <v>1506</v>
      </c>
      <c r="B414" s="285">
        <f>D399+D398*Климатология!$I$2</f>
        <v>2.7304300000000001</v>
      </c>
      <c r="C414" s="285">
        <f>D409+D408*Климатология!$I$2</f>
        <v>4.4956449999999997</v>
      </c>
    </row>
    <row r="415" spans="1:5" x14ac:dyDescent="0.25">
      <c r="A415" s="95" t="s">
        <v>1507</v>
      </c>
      <c r="B415" s="285">
        <f>E399+E398*Климатология!$I$2</f>
        <v>0.44420250000000006</v>
      </c>
      <c r="C415" s="285">
        <f>E409+E408*Климатология!$I$2</f>
        <v>0.44420250000000006</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40625" defaultRowHeight="15" x14ac:dyDescent="0.25"/>
  <cols>
    <col min="1" max="1" width="95.7109375" style="75" customWidth="1"/>
    <col min="2" max="2" width="35.28515625" style="75" customWidth="1"/>
    <col min="3" max="4" width="10.140625" style="75" customWidth="1"/>
    <col min="5" max="5" width="24.5703125" style="75" customWidth="1"/>
    <col min="6" max="16384" width="9.140625" style="75"/>
  </cols>
  <sheetData>
    <row r="1" spans="1:60" ht="62.25" customHeight="1" x14ac:dyDescent="0.45">
      <c r="A1" s="1763" t="s">
        <v>1457</v>
      </c>
      <c r="B1" s="1763"/>
      <c r="C1" s="1763"/>
      <c r="D1" s="1763"/>
      <c r="E1" s="1763"/>
      <c r="F1" s="1763"/>
      <c r="G1" s="1763"/>
      <c r="H1" s="1763"/>
      <c r="I1" s="1763"/>
      <c r="J1" s="1763"/>
      <c r="K1" s="1763"/>
      <c r="L1" s="1763"/>
      <c r="M1" s="1763"/>
      <c r="N1" s="1763"/>
      <c r="O1" s="1763"/>
      <c r="P1" s="1763"/>
      <c r="Q1" s="1763"/>
      <c r="R1" s="1763"/>
      <c r="S1" s="1763"/>
      <c r="T1" s="1763"/>
      <c r="U1" s="1763"/>
      <c r="V1" s="1763"/>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25">
      <c r="E2" s="76"/>
      <c r="F2" s="1871" t="s">
        <v>897</v>
      </c>
      <c r="G2" s="1872"/>
      <c r="H2" s="1871" t="s">
        <v>898</v>
      </c>
      <c r="I2" s="1872"/>
    </row>
    <row r="3" spans="1:60" ht="38.25" x14ac:dyDescent="0.25">
      <c r="A3" s="77" t="s">
        <v>765</v>
      </c>
      <c r="B3" s="78" t="s">
        <v>767</v>
      </c>
      <c r="E3" s="76"/>
      <c r="F3" s="79">
        <v>1</v>
      </c>
      <c r="G3" s="79"/>
      <c r="H3" s="79"/>
      <c r="I3" s="80"/>
    </row>
    <row r="4" spans="1:60" ht="25.5" x14ac:dyDescent="0.25">
      <c r="A4" s="81" t="s">
        <v>768</v>
      </c>
      <c r="B4" s="82">
        <f>0.5</f>
        <v>0.5</v>
      </c>
      <c r="C4" s="75">
        <f>IF(AND($F$9=1,$F$11=0,$F$7=1),1,0)</f>
        <v>0</v>
      </c>
      <c r="D4" s="75">
        <f>IF(AND($H$9=1,$H$11=0,$H$7=1),1,0)</f>
        <v>0</v>
      </c>
      <c r="E4" s="76" t="s">
        <v>799</v>
      </c>
      <c r="F4" s="79">
        <f>IF($F$3=1,1,0)</f>
        <v>1</v>
      </c>
      <c r="G4" s="79"/>
      <c r="H4" s="79">
        <f>IF(OR(F4=0,H5=1,H6=1),0,1)</f>
        <v>0</v>
      </c>
      <c r="I4" s="80"/>
    </row>
    <row r="5" spans="1:60" ht="25.5" x14ac:dyDescent="0.25">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25">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5" customHeight="1" x14ac:dyDescent="0.25">
      <c r="A7" s="81" t="s">
        <v>771</v>
      </c>
      <c r="B7" s="82">
        <f>0.9</f>
        <v>0.9</v>
      </c>
      <c r="C7" s="75">
        <f>IF(AND($F$10=1,$F$11=1,$F$7=1),1,0)</f>
        <v>0</v>
      </c>
      <c r="D7" s="75">
        <f>IF(AND($H$10=1,$H$11=1,$H$7=1),1,0)</f>
        <v>0</v>
      </c>
      <c r="E7" s="76" t="s">
        <v>803</v>
      </c>
      <c r="F7" s="79">
        <f>IF($F$3=4,1,0)</f>
        <v>0</v>
      </c>
      <c r="G7" s="79"/>
      <c r="H7" s="79">
        <f>IF(AND(H5=0,H6=0,H4=0),1,0)</f>
        <v>0</v>
      </c>
      <c r="I7" s="80"/>
    </row>
    <row r="8" spans="1:60" ht="18" customHeight="1" x14ac:dyDescent="0.25">
      <c r="A8" s="81" t="s">
        <v>772</v>
      </c>
      <c r="B8" s="82">
        <f>0.5</f>
        <v>0.5</v>
      </c>
      <c r="C8" s="75">
        <f>IF(AND($F$9=1,$F$11=0,$F$4=1),1,0)</f>
        <v>0</v>
      </c>
      <c r="D8" s="75">
        <f>IF(AND($H$9=1,$H$11=0,$H$4=1),1,0)</f>
        <v>0</v>
      </c>
      <c r="E8" s="83" t="s">
        <v>739</v>
      </c>
      <c r="F8" s="79">
        <v>2</v>
      </c>
      <c r="G8" s="79"/>
      <c r="H8" s="79"/>
      <c r="I8" s="80"/>
    </row>
    <row r="9" spans="1:60" ht="23.45" customHeight="1" x14ac:dyDescent="0.25">
      <c r="A9" s="81" t="s">
        <v>773</v>
      </c>
      <c r="B9" s="82">
        <f>0.5</f>
        <v>0.5</v>
      </c>
      <c r="C9" s="75">
        <f>IF(AND($F$10=1,$F$11=0,$F$4=1),1,0)</f>
        <v>1</v>
      </c>
      <c r="D9" s="75">
        <f>IF(AND($H$10=1,$H$11=0,$H$4=1),1,0)</f>
        <v>0</v>
      </c>
      <c r="E9" s="83" t="s">
        <v>737</v>
      </c>
      <c r="F9" s="79">
        <f>IF(F8=1,1,0)</f>
        <v>0</v>
      </c>
      <c r="G9" s="79"/>
      <c r="H9" s="79">
        <f>F9</f>
        <v>0</v>
      </c>
      <c r="I9" s="80"/>
    </row>
    <row r="10" spans="1:60" ht="21" customHeight="1" x14ac:dyDescent="0.25">
      <c r="A10" s="81" t="s">
        <v>774</v>
      </c>
      <c r="B10" s="82">
        <f>0.85</f>
        <v>0.85</v>
      </c>
      <c r="C10" s="75">
        <f>IF(AND($F$9=1,$F$11=1,$F$4=1),1,0)</f>
        <v>0</v>
      </c>
      <c r="D10" s="75">
        <f>IF(AND($H$9=1,$H$11=1,$H$4=1),1,0)</f>
        <v>0</v>
      </c>
      <c r="E10" s="83" t="s">
        <v>738</v>
      </c>
      <c r="F10" s="79">
        <f>IF(F8=2,1,0)</f>
        <v>1</v>
      </c>
      <c r="G10" s="79"/>
      <c r="H10" s="79">
        <f>F10</f>
        <v>1</v>
      </c>
      <c r="I10" s="80"/>
    </row>
    <row r="11" spans="1:60" ht="26.45" customHeight="1" x14ac:dyDescent="0.25">
      <c r="A11" s="81" t="s">
        <v>775</v>
      </c>
      <c r="B11" s="82">
        <f>0.9</f>
        <v>0.9</v>
      </c>
      <c r="C11" s="75">
        <f>IF(AND($F$10=1,$F$11=1,$F$4=1),1,0)</f>
        <v>0</v>
      </c>
      <c r="D11" s="75">
        <f>IF(AND($H$10=1,$H$11=1,$H$4=1),1,0)</f>
        <v>0</v>
      </c>
      <c r="E11" s="80" t="s">
        <v>802</v>
      </c>
      <c r="F11" s="79">
        <f>IF(G11=TRUE,1,0)</f>
        <v>0</v>
      </c>
      <c r="G11" s="79" t="b">
        <v>0</v>
      </c>
      <c r="H11" s="79">
        <f>F11</f>
        <v>0</v>
      </c>
      <c r="I11" s="80"/>
    </row>
    <row r="12" spans="1:60" ht="29.45" customHeight="1" x14ac:dyDescent="0.25">
      <c r="A12" s="81" t="s">
        <v>776</v>
      </c>
      <c r="B12" s="82">
        <f>0.7</f>
        <v>0.7</v>
      </c>
      <c r="C12" s="75">
        <f>IF(AND($F$9=1,$F$11=0,$F$5=1),1,0)</f>
        <v>0</v>
      </c>
      <c r="D12" s="75">
        <f>IF(AND($H$9=1,$H$11=0,$H$5=1),1,0)</f>
        <v>0</v>
      </c>
      <c r="E12" s="84"/>
    </row>
    <row r="13" spans="1:60" ht="29.45" customHeight="1" x14ac:dyDescent="0.25">
      <c r="A13" s="81" t="s">
        <v>777</v>
      </c>
      <c r="B13" s="82">
        <f>0.7</f>
        <v>0.7</v>
      </c>
      <c r="C13" s="75">
        <f>IF(AND($F$10=1,$F$11=0,$F$5=1),1,0)</f>
        <v>0</v>
      </c>
      <c r="D13" s="75">
        <f>IF(AND($H$10=1,$H$11=0,$H$5=1),1,0)</f>
        <v>1</v>
      </c>
      <c r="E13" s="84"/>
    </row>
    <row r="14" spans="1:60" ht="32.450000000000003" customHeight="1" x14ac:dyDescent="0.25">
      <c r="A14" s="81" t="s">
        <v>778</v>
      </c>
      <c r="B14" s="82">
        <f>0.9</f>
        <v>0.9</v>
      </c>
      <c r="C14" s="75">
        <f>IF(AND($F$9=1,$F$11=1,$F$5=1),1,0)</f>
        <v>0</v>
      </c>
      <c r="D14" s="75">
        <f>IF(AND($H$9=1,$H$11=1,$H$5=1),1,0)</f>
        <v>0</v>
      </c>
      <c r="E14" s="84"/>
    </row>
    <row r="15" spans="1:60" ht="29.45" customHeight="1" x14ac:dyDescent="0.25">
      <c r="A15" s="81" t="s">
        <v>779</v>
      </c>
      <c r="B15" s="82">
        <f>0.95</f>
        <v>0.95</v>
      </c>
      <c r="C15" s="75">
        <f>IF(AND($F$10=1,$F$11=1,$F$5=1),1,0)</f>
        <v>0</v>
      </c>
      <c r="D15" s="75">
        <f>IF(AND($H$10=1,$H$11=1,$H$5=1),1,0)</f>
        <v>0</v>
      </c>
      <c r="E15" s="84"/>
    </row>
    <row r="16" spans="1:60" ht="29.45" customHeight="1" x14ac:dyDescent="0.25">
      <c r="A16" s="81" t="s">
        <v>780</v>
      </c>
      <c r="B16" s="82">
        <f>0.7</f>
        <v>0.7</v>
      </c>
      <c r="C16" s="75">
        <f>IF(AND($F$9=1,$F$11=0,$F$6=1),1,0)</f>
        <v>0</v>
      </c>
      <c r="D16" s="75">
        <f>IF(AND($H$9=1,$H$11=0,$H$6=1),1,0)</f>
        <v>0</v>
      </c>
      <c r="E16" s="84"/>
    </row>
    <row r="17" spans="1:5" ht="29.45" customHeight="1" x14ac:dyDescent="0.25">
      <c r="A17" s="81" t="s">
        <v>781</v>
      </c>
      <c r="B17" s="82">
        <f>0.7</f>
        <v>0.7</v>
      </c>
      <c r="C17" s="75">
        <f>IF(AND($F$10=1,$F$11=0,$F$6=1),1,0)</f>
        <v>0</v>
      </c>
      <c r="D17" s="75">
        <f>IF(AND($H$10=1,$H$11=0,$H$6=1),1,0)</f>
        <v>0</v>
      </c>
      <c r="E17" s="84"/>
    </row>
    <row r="18" spans="1:5" ht="29.45" customHeight="1" x14ac:dyDescent="0.25">
      <c r="A18" s="81" t="s">
        <v>782</v>
      </c>
      <c r="B18" s="82">
        <f>0.9</f>
        <v>0.9</v>
      </c>
      <c r="C18" s="75">
        <f>IF(AND($F$9=1,$F$11=1,$F$6=1),1,0)</f>
        <v>0</v>
      </c>
      <c r="D18" s="75">
        <f>IF(AND($H$9=1,$H$11=1,$H$6=1),1,0)</f>
        <v>0</v>
      </c>
      <c r="E18" s="84"/>
    </row>
    <row r="19" spans="1:5" ht="27.95" customHeight="1" x14ac:dyDescent="0.25">
      <c r="A19" s="81" t="s">
        <v>783</v>
      </c>
      <c r="B19" s="82">
        <f>0.95</f>
        <v>0.95</v>
      </c>
      <c r="C19" s="75">
        <f>IF(AND($F$10=1,$F$11=1,$F$6=1),1,0)</f>
        <v>0</v>
      </c>
      <c r="D19" s="75">
        <f>IF(AND($H$10=1,$H$11=1,$H$6=1),1,0)</f>
        <v>0</v>
      </c>
      <c r="E19" s="84"/>
    </row>
    <row r="20" spans="1:5" ht="27.95" customHeight="1" x14ac:dyDescent="0.25">
      <c r="A20" s="85"/>
      <c r="B20" s="86"/>
      <c r="E20" s="84"/>
    </row>
    <row r="21" spans="1:5" ht="27.95" customHeight="1" x14ac:dyDescent="0.25">
      <c r="A21" s="87"/>
      <c r="B21" s="88"/>
      <c r="E21" s="84"/>
    </row>
    <row r="22" spans="1:5" ht="105" customHeight="1" x14ac:dyDescent="0.25">
      <c r="A22" s="77" t="s">
        <v>1458</v>
      </c>
      <c r="B22" s="89" t="s">
        <v>1459</v>
      </c>
      <c r="C22" s="75" t="s">
        <v>899</v>
      </c>
      <c r="E22" s="84" t="s">
        <v>900</v>
      </c>
    </row>
    <row r="23" spans="1:5" ht="27.95" customHeight="1" x14ac:dyDescent="0.25">
      <c r="A23" s="81" t="s">
        <v>1460</v>
      </c>
      <c r="B23" s="82">
        <f>1.13</f>
        <v>1.1299999999999999</v>
      </c>
      <c r="C23" s="75">
        <f>IF(AND(списки!D32=0,списки!D34=0,'Ввод исходных данных'!D17&gt;4),1,0)</f>
        <v>0</v>
      </c>
      <c r="E23" s="84">
        <f>IF(AND(списки!D32=0,списки!D34=0,'Ввод исходных данных'!D17&gt;4),1,0)</f>
        <v>0</v>
      </c>
    </row>
    <row r="24" spans="1:5" ht="27.95" customHeight="1" x14ac:dyDescent="0.25">
      <c r="A24" s="81" t="s">
        <v>1461</v>
      </c>
      <c r="B24" s="82">
        <f>1.11</f>
        <v>1.1100000000000001</v>
      </c>
      <c r="C24" s="75">
        <f>IF(AND(списки!D34=0,'Ввод исходных данных'!D19&gt;=9,'Ввод исходных данных'!D17=1),1,0)</f>
        <v>0</v>
      </c>
      <c r="E24" s="84"/>
    </row>
    <row r="25" spans="1:5" ht="27.95" customHeight="1" x14ac:dyDescent="0.25">
      <c r="A25" s="81" t="s">
        <v>1626</v>
      </c>
      <c r="B25" s="82">
        <v>1.0900000000000001</v>
      </c>
      <c r="C25" s="75">
        <f>IF(AND(списки!D32=0,списки!D34=0,'Ввод исходных данных'!D19&lt;9,'Ввод исходных данных'!D17&lt;=4),1,0)</f>
        <v>1</v>
      </c>
      <c r="E25" s="84"/>
    </row>
    <row r="26" spans="1:5" ht="27.95" customHeight="1" x14ac:dyDescent="0.25">
      <c r="A26" s="81" t="s">
        <v>1627</v>
      </c>
      <c r="B26" s="82">
        <f>1.07</f>
        <v>1.07</v>
      </c>
      <c r="C26" s="75">
        <f>IF(списки!D34=1,1,0)</f>
        <v>0</v>
      </c>
      <c r="E26" s="84"/>
    </row>
    <row r="27" spans="1:5" ht="27.95" customHeight="1" x14ac:dyDescent="0.25">
      <c r="A27" s="81" t="s">
        <v>1628</v>
      </c>
      <c r="B27" s="82">
        <f>1.05</f>
        <v>1.05</v>
      </c>
      <c r="C27" s="75">
        <f>IF(списки!D32+списки!D34=2,1,0)</f>
        <v>0</v>
      </c>
      <c r="E27" s="84"/>
    </row>
    <row r="28" spans="1:5" x14ac:dyDescent="0.25">
      <c r="B28" s="75">
        <v>1.0900000000000001</v>
      </c>
      <c r="C28" s="75">
        <f>IF(SUM(C23:C27)=0,1,0)</f>
        <v>0</v>
      </c>
      <c r="E28" s="84"/>
    </row>
    <row r="29" spans="1:5" x14ac:dyDescent="0.25">
      <c r="E29" s="84"/>
    </row>
    <row r="30" spans="1:5" x14ac:dyDescent="0.25">
      <c r="E30" s="84"/>
    </row>
    <row r="31" spans="1:5" x14ac:dyDescent="0.25">
      <c r="E31" s="84"/>
    </row>
    <row r="32" spans="1: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4"/>
    </row>
    <row r="58" spans="5:5" x14ac:dyDescent="0.25">
      <c r="E58" s="84"/>
    </row>
    <row r="59" spans="5:5" x14ac:dyDescent="0.25">
      <c r="E59" s="84"/>
    </row>
    <row r="60" spans="5:5" x14ac:dyDescent="0.25">
      <c r="E60" s="84"/>
    </row>
    <row r="61" spans="5:5" x14ac:dyDescent="0.25">
      <c r="E61" s="84"/>
    </row>
    <row r="62" spans="5:5" x14ac:dyDescent="0.25">
      <c r="E62" s="84"/>
    </row>
    <row r="63" spans="5:5" x14ac:dyDescent="0.25">
      <c r="E63" s="84"/>
    </row>
    <row r="64" spans="5:5"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row r="87" spans="5:5" x14ac:dyDescent="0.25">
      <c r="E87" s="84"/>
    </row>
    <row r="88" spans="5:5" x14ac:dyDescent="0.25">
      <c r="E88" s="84"/>
    </row>
    <row r="89" spans="5:5" x14ac:dyDescent="0.25">
      <c r="E89" s="84"/>
    </row>
    <row r="90" spans="5:5" x14ac:dyDescent="0.25">
      <c r="E90" s="84"/>
    </row>
    <row r="91" spans="5:5" x14ac:dyDescent="0.25">
      <c r="E91" s="84"/>
    </row>
    <row r="92" spans="5:5" x14ac:dyDescent="0.25">
      <c r="E92" s="84"/>
    </row>
    <row r="93" spans="5:5" x14ac:dyDescent="0.25">
      <c r="E93" s="84"/>
    </row>
    <row r="94" spans="5:5" x14ac:dyDescent="0.25">
      <c r="E94" s="84"/>
    </row>
    <row r="95" spans="5:5" x14ac:dyDescent="0.25">
      <c r="E95" s="84"/>
    </row>
    <row r="96" spans="5:5" x14ac:dyDescent="0.25">
      <c r="E96" s="84"/>
    </row>
    <row r="97" spans="5:5" x14ac:dyDescent="0.25">
      <c r="E97" s="84"/>
    </row>
    <row r="98" spans="5:5" x14ac:dyDescent="0.25">
      <c r="E98" s="84"/>
    </row>
    <row r="99" spans="5:5" x14ac:dyDescent="0.25">
      <c r="E99" s="84"/>
    </row>
    <row r="100" spans="5:5" x14ac:dyDescent="0.25">
      <c r="E100" s="84"/>
    </row>
    <row r="101" spans="5:5" x14ac:dyDescent="0.25">
      <c r="E101" s="84"/>
    </row>
    <row r="102" spans="5:5" x14ac:dyDescent="0.25">
      <c r="E102" s="84"/>
    </row>
    <row r="103" spans="5:5" x14ac:dyDescent="0.25">
      <c r="E103" s="84"/>
    </row>
    <row r="104" spans="5:5" x14ac:dyDescent="0.25">
      <c r="E104" s="84"/>
    </row>
    <row r="105" spans="5:5" x14ac:dyDescent="0.25">
      <c r="E105" s="84"/>
    </row>
    <row r="106" spans="5:5" x14ac:dyDescent="0.25">
      <c r="E106" s="84"/>
    </row>
    <row r="107" spans="5:5" x14ac:dyDescent="0.25">
      <c r="E107" s="84"/>
    </row>
    <row r="108" spans="5:5" x14ac:dyDescent="0.25">
      <c r="E108" s="84"/>
    </row>
    <row r="109" spans="5:5" x14ac:dyDescent="0.25">
      <c r="E109" s="84"/>
    </row>
    <row r="110" spans="5:5" x14ac:dyDescent="0.25">
      <c r="E110" s="84"/>
    </row>
    <row r="111" spans="5:5" x14ac:dyDescent="0.25">
      <c r="E111" s="84"/>
    </row>
    <row r="112" spans="5:5" x14ac:dyDescent="0.25">
      <c r="E112" s="84"/>
    </row>
    <row r="113" spans="5:5" x14ac:dyDescent="0.25">
      <c r="E113" s="84"/>
    </row>
    <row r="114" spans="5:5" x14ac:dyDescent="0.25">
      <c r="E114" s="84"/>
    </row>
    <row r="115" spans="5:5" x14ac:dyDescent="0.25">
      <c r="E115" s="84"/>
    </row>
    <row r="116" spans="5:5" x14ac:dyDescent="0.25">
      <c r="E116" s="84"/>
    </row>
    <row r="117" spans="5:5" x14ac:dyDescent="0.25">
      <c r="E117" s="84"/>
    </row>
    <row r="118" spans="5:5" x14ac:dyDescent="0.25">
      <c r="E118" s="84"/>
    </row>
    <row r="119" spans="5:5" x14ac:dyDescent="0.25">
      <c r="E119" s="84"/>
    </row>
    <row r="120" spans="5:5" x14ac:dyDescent="0.25">
      <c r="E120" s="84"/>
    </row>
    <row r="121" spans="5:5" x14ac:dyDescent="0.25">
      <c r="E121" s="84"/>
    </row>
    <row r="122" spans="5:5" x14ac:dyDescent="0.25">
      <c r="E122" s="84"/>
    </row>
    <row r="123" spans="5:5" x14ac:dyDescent="0.25">
      <c r="E123" s="84"/>
    </row>
    <row r="124" spans="5:5" x14ac:dyDescent="0.25">
      <c r="E124" s="84"/>
    </row>
    <row r="125" spans="5:5" x14ac:dyDescent="0.25">
      <c r="E125" s="84"/>
    </row>
    <row r="126" spans="5:5" x14ac:dyDescent="0.25">
      <c r="E126" s="84"/>
    </row>
    <row r="127" spans="5:5" x14ac:dyDescent="0.25">
      <c r="E127" s="84"/>
    </row>
    <row r="128" spans="5:5" x14ac:dyDescent="0.25">
      <c r="E128" s="84"/>
    </row>
    <row r="129" spans="5:5" x14ac:dyDescent="0.25">
      <c r="E129" s="84"/>
    </row>
    <row r="130" spans="5:5" x14ac:dyDescent="0.25">
      <c r="E130" s="84"/>
    </row>
    <row r="131" spans="5:5" x14ac:dyDescent="0.25">
      <c r="E131" s="84"/>
    </row>
    <row r="132" spans="5:5" x14ac:dyDescent="0.25">
      <c r="E132" s="84"/>
    </row>
    <row r="133" spans="5:5" x14ac:dyDescent="0.25">
      <c r="E133" s="84"/>
    </row>
    <row r="134" spans="5:5" x14ac:dyDescent="0.25">
      <c r="E134" s="84"/>
    </row>
    <row r="135" spans="5:5" x14ac:dyDescent="0.25">
      <c r="E135" s="84"/>
    </row>
    <row r="136" spans="5:5" x14ac:dyDescent="0.25">
      <c r="E136" s="84"/>
    </row>
    <row r="137" spans="5:5" x14ac:dyDescent="0.25">
      <c r="E137" s="84"/>
    </row>
    <row r="138" spans="5:5" x14ac:dyDescent="0.25">
      <c r="E138" s="84"/>
    </row>
    <row r="139" spans="5:5" x14ac:dyDescent="0.25">
      <c r="E139" s="84"/>
    </row>
    <row r="140" spans="5:5" x14ac:dyDescent="0.25">
      <c r="E140" s="84"/>
    </row>
    <row r="141" spans="5:5" x14ac:dyDescent="0.25">
      <c r="E141" s="84"/>
    </row>
    <row r="142" spans="5:5" x14ac:dyDescent="0.25">
      <c r="E142" s="84"/>
    </row>
    <row r="143" spans="5:5" x14ac:dyDescent="0.25">
      <c r="E143" s="84"/>
    </row>
    <row r="144" spans="5:5" x14ac:dyDescent="0.25">
      <c r="E144" s="84"/>
    </row>
    <row r="145" spans="5:5" x14ac:dyDescent="0.25">
      <c r="E145" s="84"/>
    </row>
    <row r="146" spans="5:5" x14ac:dyDescent="0.25">
      <c r="E146" s="84"/>
    </row>
    <row r="147" spans="5:5" x14ac:dyDescent="0.25">
      <c r="E147" s="84"/>
    </row>
    <row r="148" spans="5:5" x14ac:dyDescent="0.25">
      <c r="E148" s="84"/>
    </row>
    <row r="149" spans="5:5" x14ac:dyDescent="0.25">
      <c r="E149" s="84"/>
    </row>
    <row r="150" spans="5:5" x14ac:dyDescent="0.25">
      <c r="E150" s="84"/>
    </row>
    <row r="151" spans="5:5" x14ac:dyDescent="0.25">
      <c r="E151" s="84"/>
    </row>
    <row r="152" spans="5:5" x14ac:dyDescent="0.25">
      <c r="E152" s="84"/>
    </row>
    <row r="153" spans="5:5" x14ac:dyDescent="0.25">
      <c r="E153" s="84"/>
    </row>
    <row r="154" spans="5:5" x14ac:dyDescent="0.25">
      <c r="E154" s="84"/>
    </row>
    <row r="155" spans="5:5" x14ac:dyDescent="0.25">
      <c r="E155" s="84"/>
    </row>
    <row r="156" spans="5:5" x14ac:dyDescent="0.25">
      <c r="E156" s="84"/>
    </row>
    <row r="157" spans="5:5" x14ac:dyDescent="0.25">
      <c r="E157" s="84"/>
    </row>
    <row r="158" spans="5:5" x14ac:dyDescent="0.25">
      <c r="E158" s="84"/>
    </row>
    <row r="159" spans="5:5" x14ac:dyDescent="0.25">
      <c r="E159" s="84"/>
    </row>
    <row r="160" spans="5:5" x14ac:dyDescent="0.25">
      <c r="E160" s="84"/>
    </row>
    <row r="161" spans="5:5" x14ac:dyDescent="0.25">
      <c r="E161" s="84"/>
    </row>
    <row r="162" spans="5:5" x14ac:dyDescent="0.25">
      <c r="E162" s="84"/>
    </row>
    <row r="163" spans="5:5" x14ac:dyDescent="0.25">
      <c r="E163" s="84"/>
    </row>
    <row r="164" spans="5:5" x14ac:dyDescent="0.25">
      <c r="E164" s="84"/>
    </row>
    <row r="165" spans="5:5" x14ac:dyDescent="0.25">
      <c r="E165" s="84"/>
    </row>
    <row r="166" spans="5:5" x14ac:dyDescent="0.25">
      <c r="E166" s="84"/>
    </row>
    <row r="167" spans="5:5" x14ac:dyDescent="0.25">
      <c r="E167" s="84"/>
    </row>
    <row r="168" spans="5:5" x14ac:dyDescent="0.25">
      <c r="E168" s="84"/>
    </row>
    <row r="169" spans="5:5" x14ac:dyDescent="0.25">
      <c r="E169" s="84"/>
    </row>
    <row r="170" spans="5:5" x14ac:dyDescent="0.25">
      <c r="E170" s="84"/>
    </row>
    <row r="171" spans="5:5" x14ac:dyDescent="0.25">
      <c r="E171" s="84"/>
    </row>
    <row r="172" spans="5:5" x14ac:dyDescent="0.25">
      <c r="E172" s="84"/>
    </row>
    <row r="173" spans="5:5" x14ac:dyDescent="0.25">
      <c r="E173" s="84"/>
    </row>
    <row r="174" spans="5:5" x14ac:dyDescent="0.25">
      <c r="E174" s="84"/>
    </row>
    <row r="175" spans="5:5" x14ac:dyDescent="0.25">
      <c r="E175" s="84"/>
    </row>
    <row r="176" spans="5:5" x14ac:dyDescent="0.25">
      <c r="E176" s="84"/>
    </row>
    <row r="177" spans="5:5" x14ac:dyDescent="0.25">
      <c r="E177" s="84"/>
    </row>
    <row r="178" spans="5:5" x14ac:dyDescent="0.25">
      <c r="E178" s="84"/>
    </row>
    <row r="179" spans="5:5" x14ac:dyDescent="0.25">
      <c r="E179" s="84"/>
    </row>
    <row r="180" spans="5:5" x14ac:dyDescent="0.25">
      <c r="E180" s="84"/>
    </row>
    <row r="181" spans="5:5" x14ac:dyDescent="0.25">
      <c r="E181" s="84"/>
    </row>
    <row r="182" spans="5:5" x14ac:dyDescent="0.25">
      <c r="E182" s="84"/>
    </row>
    <row r="183" spans="5:5" x14ac:dyDescent="0.25">
      <c r="E183" s="84"/>
    </row>
    <row r="184" spans="5:5" x14ac:dyDescent="0.25">
      <c r="E184" s="84"/>
    </row>
    <row r="185" spans="5:5" x14ac:dyDescent="0.25">
      <c r="E185" s="84"/>
    </row>
    <row r="186" spans="5:5" x14ac:dyDescent="0.25">
      <c r="E186" s="84"/>
    </row>
    <row r="187" spans="5:5" x14ac:dyDescent="0.25">
      <c r="E187" s="84"/>
    </row>
    <row r="188" spans="5:5" x14ac:dyDescent="0.25">
      <c r="E188" s="84"/>
    </row>
    <row r="189" spans="5:5" x14ac:dyDescent="0.25">
      <c r="E189" s="84"/>
    </row>
    <row r="190" spans="5:5" x14ac:dyDescent="0.25">
      <c r="E190" s="84"/>
    </row>
    <row r="191" spans="5:5" x14ac:dyDescent="0.25">
      <c r="E191" s="84"/>
    </row>
    <row r="192" spans="5:5" x14ac:dyDescent="0.25">
      <c r="E192" s="84"/>
    </row>
    <row r="193" spans="5:5" x14ac:dyDescent="0.25">
      <c r="E193" s="84"/>
    </row>
    <row r="194" spans="5:5" x14ac:dyDescent="0.25">
      <c r="E194" s="84"/>
    </row>
    <row r="195" spans="5:5" x14ac:dyDescent="0.25">
      <c r="E195" s="84"/>
    </row>
    <row r="196" spans="5:5" x14ac:dyDescent="0.25">
      <c r="E196" s="84"/>
    </row>
    <row r="197" spans="5:5" x14ac:dyDescent="0.25">
      <c r="E197" s="84"/>
    </row>
    <row r="198" spans="5:5" x14ac:dyDescent="0.25">
      <c r="E198" s="84"/>
    </row>
    <row r="199" spans="5:5" x14ac:dyDescent="0.25">
      <c r="E199" s="84"/>
    </row>
    <row r="200" spans="5:5" x14ac:dyDescent="0.25">
      <c r="E200" s="84"/>
    </row>
    <row r="201" spans="5:5" x14ac:dyDescent="0.25">
      <c r="E201" s="84"/>
    </row>
    <row r="202" spans="5:5" x14ac:dyDescent="0.25">
      <c r="E202" s="84"/>
    </row>
    <row r="203" spans="5:5" x14ac:dyDescent="0.25">
      <c r="E203" s="84"/>
    </row>
    <row r="204" spans="5:5" x14ac:dyDescent="0.25">
      <c r="E204" s="84"/>
    </row>
    <row r="205" spans="5:5" x14ac:dyDescent="0.25">
      <c r="E205" s="84"/>
    </row>
    <row r="206" spans="5:5" x14ac:dyDescent="0.25">
      <c r="E206" s="84"/>
    </row>
    <row r="207" spans="5:5" x14ac:dyDescent="0.25">
      <c r="E207" s="84"/>
    </row>
    <row r="208" spans="5:5" x14ac:dyDescent="0.25">
      <c r="E208" s="84"/>
    </row>
    <row r="209" spans="5:5" x14ac:dyDescent="0.25">
      <c r="E209" s="84"/>
    </row>
    <row r="210" spans="5:5" x14ac:dyDescent="0.25">
      <c r="E210" s="84"/>
    </row>
    <row r="211" spans="5:5" x14ac:dyDescent="0.25">
      <c r="E211" s="84"/>
    </row>
    <row r="212" spans="5:5" x14ac:dyDescent="0.25">
      <c r="E212" s="84"/>
    </row>
    <row r="213" spans="5:5" x14ac:dyDescent="0.25">
      <c r="E213" s="84"/>
    </row>
    <row r="214" spans="5:5" x14ac:dyDescent="0.25">
      <c r="E214" s="84"/>
    </row>
    <row r="215" spans="5:5" x14ac:dyDescent="0.25">
      <c r="E215" s="84"/>
    </row>
    <row r="216" spans="5:5" x14ac:dyDescent="0.25">
      <c r="E216" s="84"/>
    </row>
    <row r="217" spans="5:5" x14ac:dyDescent="0.25">
      <c r="E217" s="84"/>
    </row>
    <row r="218" spans="5:5" x14ac:dyDescent="0.25">
      <c r="E218" s="84"/>
    </row>
    <row r="219" spans="5:5" x14ac:dyDescent="0.25">
      <c r="E219" s="84"/>
    </row>
    <row r="220" spans="5:5" x14ac:dyDescent="0.25">
      <c r="E220" s="84"/>
    </row>
    <row r="221" spans="5:5" x14ac:dyDescent="0.25">
      <c r="E221" s="84"/>
    </row>
    <row r="222" spans="5:5" x14ac:dyDescent="0.25">
      <c r="E222" s="84"/>
    </row>
    <row r="223" spans="5:5" x14ac:dyDescent="0.25">
      <c r="E223" s="84"/>
    </row>
    <row r="224" spans="5:5" x14ac:dyDescent="0.25">
      <c r="E224" s="84"/>
    </row>
    <row r="225" spans="5:5" x14ac:dyDescent="0.25">
      <c r="E225" s="84"/>
    </row>
    <row r="226" spans="5:5" x14ac:dyDescent="0.25">
      <c r="E226" s="84"/>
    </row>
    <row r="227" spans="5:5" x14ac:dyDescent="0.25">
      <c r="E227" s="84"/>
    </row>
    <row r="228" spans="5:5" x14ac:dyDescent="0.25">
      <c r="E228" s="84"/>
    </row>
    <row r="229" spans="5:5" x14ac:dyDescent="0.25">
      <c r="E229" s="84"/>
    </row>
    <row r="230" spans="5:5" x14ac:dyDescent="0.25">
      <c r="E230" s="84"/>
    </row>
    <row r="231" spans="5:5" x14ac:dyDescent="0.25">
      <c r="E231" s="84"/>
    </row>
    <row r="232" spans="5:5" x14ac:dyDescent="0.25">
      <c r="E232" s="84"/>
    </row>
    <row r="233" spans="5:5" x14ac:dyDescent="0.25">
      <c r="E233" s="84"/>
    </row>
    <row r="234" spans="5:5" x14ac:dyDescent="0.25">
      <c r="E234" s="84"/>
    </row>
    <row r="235" spans="5:5" x14ac:dyDescent="0.25">
      <c r="E235" s="84"/>
    </row>
    <row r="236" spans="5:5" x14ac:dyDescent="0.25">
      <c r="E236" s="84"/>
    </row>
    <row r="237" spans="5:5" x14ac:dyDescent="0.25">
      <c r="E237" s="84"/>
    </row>
    <row r="238" spans="5:5" x14ac:dyDescent="0.25">
      <c r="E238" s="84"/>
    </row>
    <row r="239" spans="5:5" x14ac:dyDescent="0.25">
      <c r="E239" s="84"/>
    </row>
    <row r="240" spans="5:5" x14ac:dyDescent="0.25">
      <c r="E240" s="84"/>
    </row>
    <row r="241" spans="5:5" x14ac:dyDescent="0.25">
      <c r="E241" s="84"/>
    </row>
    <row r="242" spans="5:5" x14ac:dyDescent="0.25">
      <c r="E242" s="84"/>
    </row>
    <row r="243" spans="5:5" x14ac:dyDescent="0.25">
      <c r="E243" s="84"/>
    </row>
    <row r="244" spans="5:5" x14ac:dyDescent="0.25">
      <c r="E244" s="84"/>
    </row>
    <row r="245" spans="5:5" x14ac:dyDescent="0.25">
      <c r="E245" s="84"/>
    </row>
    <row r="246" spans="5:5" x14ac:dyDescent="0.25">
      <c r="E246" s="84"/>
    </row>
    <row r="247" spans="5:5" x14ac:dyDescent="0.25">
      <c r="E247" s="84"/>
    </row>
    <row r="248" spans="5:5" x14ac:dyDescent="0.25">
      <c r="E248" s="84"/>
    </row>
    <row r="249" spans="5:5" x14ac:dyDescent="0.25">
      <c r="E249" s="84"/>
    </row>
    <row r="250" spans="5:5" x14ac:dyDescent="0.25">
      <c r="E250" s="84"/>
    </row>
    <row r="251" spans="5:5" x14ac:dyDescent="0.25">
      <c r="E251" s="84"/>
    </row>
    <row r="252" spans="5:5" x14ac:dyDescent="0.25">
      <c r="E252" s="84"/>
    </row>
    <row r="253" spans="5:5" x14ac:dyDescent="0.25">
      <c r="E253" s="84"/>
    </row>
    <row r="254" spans="5:5" x14ac:dyDescent="0.25">
      <c r="E254" s="84"/>
    </row>
    <row r="255" spans="5:5" x14ac:dyDescent="0.25">
      <c r="E255" s="84"/>
    </row>
    <row r="256" spans="5:5" x14ac:dyDescent="0.25">
      <c r="E256" s="84"/>
    </row>
    <row r="257" spans="5:5" x14ac:dyDescent="0.25">
      <c r="E257" s="84"/>
    </row>
    <row r="258" spans="5:5" x14ac:dyDescent="0.25">
      <c r="E258" s="84"/>
    </row>
    <row r="259" spans="5:5" x14ac:dyDescent="0.25">
      <c r="E259" s="84"/>
    </row>
    <row r="260" spans="5:5" x14ac:dyDescent="0.25">
      <c r="E260" s="84"/>
    </row>
    <row r="261" spans="5:5" x14ac:dyDescent="0.25">
      <c r="E261" s="84"/>
    </row>
    <row r="262" spans="5:5" x14ac:dyDescent="0.25">
      <c r="E262" s="84"/>
    </row>
    <row r="263" spans="5:5" x14ac:dyDescent="0.25">
      <c r="E263" s="84"/>
    </row>
    <row r="264" spans="5:5" x14ac:dyDescent="0.25">
      <c r="E264" s="84"/>
    </row>
    <row r="265" spans="5:5" x14ac:dyDescent="0.25">
      <c r="E265" s="84"/>
    </row>
    <row r="266" spans="5:5" x14ac:dyDescent="0.25">
      <c r="E266" s="84"/>
    </row>
    <row r="267" spans="5:5" x14ac:dyDescent="0.25">
      <c r="E267" s="84"/>
    </row>
    <row r="268" spans="5:5" x14ac:dyDescent="0.25">
      <c r="E268" s="84"/>
    </row>
    <row r="269" spans="5:5" x14ac:dyDescent="0.25">
      <c r="E269" s="84"/>
    </row>
    <row r="270" spans="5:5" x14ac:dyDescent="0.25">
      <c r="E270" s="84"/>
    </row>
    <row r="271" spans="5:5" x14ac:dyDescent="0.25">
      <c r="E271" s="84"/>
    </row>
    <row r="272" spans="5:5" x14ac:dyDescent="0.25">
      <c r="E272" s="84"/>
    </row>
    <row r="273" spans="5:5" x14ac:dyDescent="0.25">
      <c r="E273" s="84"/>
    </row>
    <row r="274" spans="5:5" x14ac:dyDescent="0.25">
      <c r="E274" s="84"/>
    </row>
    <row r="275" spans="5:5" x14ac:dyDescent="0.25">
      <c r="E275" s="84"/>
    </row>
    <row r="276" spans="5:5" x14ac:dyDescent="0.25">
      <c r="E276" s="84"/>
    </row>
    <row r="277" spans="5:5" x14ac:dyDescent="0.25">
      <c r="E277" s="84"/>
    </row>
    <row r="278" spans="5:5" x14ac:dyDescent="0.25">
      <c r="E278" s="84"/>
    </row>
    <row r="279" spans="5:5" x14ac:dyDescent="0.25">
      <c r="E279" s="84"/>
    </row>
    <row r="280" spans="5:5" x14ac:dyDescent="0.25">
      <c r="E280" s="84"/>
    </row>
    <row r="281" spans="5:5" x14ac:dyDescent="0.25">
      <c r="E281" s="84"/>
    </row>
    <row r="282" spans="5:5" x14ac:dyDescent="0.25">
      <c r="E282" s="84"/>
    </row>
    <row r="283" spans="5:5" x14ac:dyDescent="0.25">
      <c r="E283" s="84"/>
    </row>
    <row r="284" spans="5:5" x14ac:dyDescent="0.25">
      <c r="E284" s="84"/>
    </row>
    <row r="285" spans="5:5" x14ac:dyDescent="0.25">
      <c r="E285" s="84"/>
    </row>
    <row r="286" spans="5:5" x14ac:dyDescent="0.25">
      <c r="E286" s="84"/>
    </row>
    <row r="287" spans="5:5" x14ac:dyDescent="0.25">
      <c r="E287" s="84"/>
    </row>
    <row r="288" spans="5:5" x14ac:dyDescent="0.25">
      <c r="E288" s="84"/>
    </row>
    <row r="289" spans="5:5" x14ac:dyDescent="0.25">
      <c r="E289" s="84"/>
    </row>
    <row r="290" spans="5:5" x14ac:dyDescent="0.25">
      <c r="E290" s="84"/>
    </row>
    <row r="291" spans="5:5" x14ac:dyDescent="0.25">
      <c r="E291" s="84"/>
    </row>
    <row r="292" spans="5:5" x14ac:dyDescent="0.25">
      <c r="E292" s="84"/>
    </row>
    <row r="293" spans="5:5" x14ac:dyDescent="0.25">
      <c r="E293" s="84"/>
    </row>
    <row r="294" spans="5:5" x14ac:dyDescent="0.25">
      <c r="E294" s="84"/>
    </row>
    <row r="295" spans="5:5" x14ac:dyDescent="0.25">
      <c r="E295" s="84"/>
    </row>
    <row r="296" spans="5:5" x14ac:dyDescent="0.25">
      <c r="E296" s="84"/>
    </row>
    <row r="297" spans="5:5" x14ac:dyDescent="0.25">
      <c r="E297" s="84"/>
    </row>
    <row r="298" spans="5:5" x14ac:dyDescent="0.25">
      <c r="E298" s="84"/>
    </row>
    <row r="299" spans="5:5" x14ac:dyDescent="0.25">
      <c r="E299" s="84"/>
    </row>
    <row r="300" spans="5:5" x14ac:dyDescent="0.25">
      <c r="E300" s="84"/>
    </row>
    <row r="301" spans="5:5" x14ac:dyDescent="0.25">
      <c r="E301" s="84"/>
    </row>
    <row r="302" spans="5:5" x14ac:dyDescent="0.25">
      <c r="E302" s="84"/>
    </row>
    <row r="303" spans="5:5" x14ac:dyDescent="0.25">
      <c r="E303" s="84"/>
    </row>
    <row r="304" spans="5:5" x14ac:dyDescent="0.25">
      <c r="E304" s="84"/>
    </row>
    <row r="305" spans="5:5" x14ac:dyDescent="0.25">
      <c r="E305" s="84"/>
    </row>
    <row r="306" spans="5:5" x14ac:dyDescent="0.25">
      <c r="E306" s="84"/>
    </row>
  </sheetData>
  <sheetProtection algorithmName="SHA-512" hashValue="w/4wRy6iP55ef4UygZn0YbQSY3HpfeUWNIgSBRSIeNBXCNNegHjNzQLZtxZ5di40h4/Tt3mHGkQZV13Sw57XLQ==" saltValue="TfmZBj29eUbRJ2XhVwQjK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40625" defaultRowHeight="15" x14ac:dyDescent="0.25"/>
  <cols>
    <col min="1" max="1" width="50.7109375" style="75" customWidth="1"/>
    <col min="2" max="2" width="15.5703125" style="75" customWidth="1"/>
    <col min="3" max="3" width="17.85546875" style="75" customWidth="1"/>
    <col min="4" max="4" width="20.42578125" style="75" customWidth="1"/>
    <col min="5" max="5" width="8.5703125" style="75" customWidth="1"/>
    <col min="6" max="6" width="10.42578125" style="75" customWidth="1"/>
    <col min="7" max="7" width="9.140625" style="75"/>
    <col min="8" max="8" width="11" style="75" customWidth="1"/>
    <col min="9" max="9" width="11.42578125" style="75" customWidth="1"/>
    <col min="10" max="10" width="10.7109375" style="75" customWidth="1"/>
    <col min="11" max="11" width="9.28515625" style="75" customWidth="1"/>
    <col min="12" max="16384" width="9.140625" style="75"/>
  </cols>
  <sheetData>
    <row r="1" spans="1:61" ht="62.25" customHeight="1" x14ac:dyDescent="0.45">
      <c r="A1" s="1763"/>
      <c r="B1" s="1763"/>
      <c r="C1" s="1763"/>
      <c r="D1" s="1763"/>
      <c r="E1" s="1763"/>
      <c r="F1" s="1763"/>
      <c r="G1" s="1763"/>
      <c r="H1" s="1763"/>
      <c r="I1" s="1763"/>
      <c r="J1" s="1763"/>
      <c r="K1" s="1763"/>
      <c r="L1" s="1763"/>
      <c r="M1" s="1763"/>
      <c r="N1" s="1763"/>
      <c r="O1" s="1763"/>
      <c r="P1" s="1763"/>
      <c r="Q1" s="1763"/>
      <c r="R1" s="1763"/>
      <c r="S1" s="1763"/>
      <c r="T1" s="1763"/>
      <c r="U1" s="1763"/>
      <c r="V1" s="1763"/>
      <c r="W1" s="1763"/>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25">
      <c r="A2" s="90"/>
      <c r="B2" s="90"/>
      <c r="C2" s="91"/>
      <c r="D2" s="92"/>
      <c r="E2" s="93"/>
      <c r="F2" s="94"/>
    </row>
    <row r="3" spans="1:61" x14ac:dyDescent="0.25">
      <c r="A3" s="75" t="s">
        <v>822</v>
      </c>
      <c r="B3" s="75">
        <f>40*12</f>
        <v>480</v>
      </c>
    </row>
    <row r="4" spans="1:61" ht="42.95" customHeight="1" x14ac:dyDescent="0.25">
      <c r="A4" s="95"/>
      <c r="B4" s="95"/>
      <c r="C4" s="95"/>
      <c r="D4" s="75" t="s">
        <v>1342</v>
      </c>
      <c r="F4" s="75" t="s">
        <v>1387</v>
      </c>
    </row>
    <row r="5" spans="1:61" x14ac:dyDescent="0.25">
      <c r="A5" s="95"/>
      <c r="B5" s="96" t="s">
        <v>977</v>
      </c>
      <c r="C5" s="95">
        <v>0.15</v>
      </c>
      <c r="D5" s="75">
        <v>11</v>
      </c>
    </row>
    <row r="6" spans="1:61" x14ac:dyDescent="0.25">
      <c r="A6" s="95"/>
      <c r="B6" s="96" t="s">
        <v>1318</v>
      </c>
      <c r="C6" s="95">
        <v>0.22</v>
      </c>
      <c r="D6" s="75">
        <v>50</v>
      </c>
      <c r="F6" s="97">
        <f>$D$5/D6</f>
        <v>0.22</v>
      </c>
    </row>
    <row r="7" spans="1:61" x14ac:dyDescent="0.25">
      <c r="A7" s="95"/>
      <c r="B7" s="96" t="s">
        <v>978</v>
      </c>
      <c r="C7" s="95">
        <v>0.22</v>
      </c>
      <c r="D7" s="75">
        <v>53.3</v>
      </c>
      <c r="F7" s="97">
        <f>$D$5/D7</f>
        <v>0.20637898686679176</v>
      </c>
    </row>
    <row r="8" spans="1:61" x14ac:dyDescent="0.25">
      <c r="A8" s="95"/>
      <c r="B8" s="96" t="s">
        <v>979</v>
      </c>
      <c r="C8" s="98">
        <v>0.57999999999999996</v>
      </c>
      <c r="D8" s="75">
        <v>78</v>
      </c>
      <c r="F8" s="97">
        <f>$D$5/D8</f>
        <v>0.14102564102564102</v>
      </c>
    </row>
    <row r="9" spans="1:61" ht="32.25" customHeight="1" x14ac:dyDescent="0.25">
      <c r="A9" s="95"/>
      <c r="B9" s="96" t="s">
        <v>461</v>
      </c>
      <c r="C9" s="95">
        <v>0.15</v>
      </c>
      <c r="D9" s="75">
        <v>11</v>
      </c>
      <c r="F9" s="97">
        <v>1</v>
      </c>
    </row>
    <row r="10" spans="1:61" ht="24.75" customHeight="1" x14ac:dyDescent="0.25">
      <c r="A10" s="95"/>
      <c r="B10" s="96" t="s">
        <v>980</v>
      </c>
      <c r="C10" s="95"/>
      <c r="D10" s="75">
        <v>16</v>
      </c>
      <c r="E10" s="75" t="s">
        <v>1343</v>
      </c>
      <c r="F10" s="97">
        <f>$D$5/D10</f>
        <v>0.6875</v>
      </c>
    </row>
    <row r="11" spans="1:61" x14ac:dyDescent="0.25">
      <c r="A11" s="95"/>
      <c r="B11" s="95"/>
      <c r="C11" s="95"/>
    </row>
    <row r="12" spans="1:61"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25">
      <c r="A17" s="101" t="s">
        <v>975</v>
      </c>
      <c r="B17" s="100" t="s">
        <v>1494</v>
      </c>
      <c r="D17" s="100"/>
      <c r="E17" s="100"/>
      <c r="F17" s="100"/>
    </row>
    <row r="18" spans="1:6" ht="13.5" customHeight="1" x14ac:dyDescent="0.25">
      <c r="A18" s="101" t="s">
        <v>984</v>
      </c>
      <c r="B18" s="102">
        <f>'Ввод исходных данных'!G131*'Ввод исходных данных'!H131*'Ввод исходных данных'!D131/1000</f>
        <v>2336</v>
      </c>
      <c r="C18" s="100"/>
      <c r="D18" s="100"/>
      <c r="E18" s="100"/>
      <c r="F18" s="100"/>
    </row>
    <row r="19" spans="1:6" ht="13.5" customHeight="1" x14ac:dyDescent="0.25">
      <c r="A19" s="101" t="s">
        <v>985</v>
      </c>
      <c r="B19" s="102">
        <f>'Ввод исходных данных'!G132*'Ввод исходных данных'!H132*'Ввод исходных данных'!D132/1000</f>
        <v>17520</v>
      </c>
      <c r="C19" s="100"/>
      <c r="D19" s="100"/>
      <c r="E19" s="100"/>
      <c r="F19" s="100"/>
    </row>
    <row r="20" spans="1:6" ht="13.5" customHeight="1" x14ac:dyDescent="0.25">
      <c r="A20" s="101" t="s">
        <v>1468</v>
      </c>
      <c r="B20" s="102">
        <f>'Ввод исходных данных'!G133*'Ввод исходных данных'!H133*'Ввод исходных данных'!D133/1000</f>
        <v>26280</v>
      </c>
      <c r="C20" s="100"/>
      <c r="D20" s="100"/>
      <c r="E20" s="100"/>
      <c r="F20" s="100"/>
    </row>
    <row r="21" spans="1:6" ht="13.5" customHeight="1" x14ac:dyDescent="0.25">
      <c r="A21" s="101" t="s">
        <v>1469</v>
      </c>
      <c r="B21" s="103">
        <f>'Ввод исходных данных'!G134*'Ввод исходных данных'!H134*'Ввод исходных данных'!D134/1000</f>
        <v>0</v>
      </c>
      <c r="C21" s="100"/>
      <c r="D21" s="100"/>
      <c r="E21" s="100"/>
      <c r="F21" s="100"/>
    </row>
    <row r="22" spans="1:6" ht="13.5" customHeight="1" x14ac:dyDescent="0.25">
      <c r="A22" s="100"/>
      <c r="B22" s="103">
        <f>'Ввод исходных данных'!G135*'Ввод исходных данных'!H135*'Ввод исходных данных'!D135/1000</f>
        <v>0</v>
      </c>
      <c r="C22" s="100"/>
      <c r="D22" s="100"/>
      <c r="E22" s="100"/>
      <c r="F22" s="100"/>
    </row>
    <row r="23" spans="1:6" ht="13.5" customHeight="1" x14ac:dyDescent="0.25">
      <c r="A23" s="100"/>
      <c r="B23" s="103"/>
      <c r="C23" s="100"/>
      <c r="D23" s="100"/>
      <c r="E23" s="100"/>
      <c r="F23" s="100"/>
    </row>
    <row r="24" spans="1:6" ht="15" customHeight="1" x14ac:dyDescent="0.25">
      <c r="A24" s="104" t="s">
        <v>824</v>
      </c>
      <c r="B24" s="100"/>
      <c r="C24" s="100"/>
      <c r="D24" s="100"/>
      <c r="E24" s="100"/>
      <c r="F24" s="100"/>
    </row>
    <row r="25" spans="1:6" ht="56.1" customHeight="1" x14ac:dyDescent="0.25">
      <c r="A25" s="77" t="s">
        <v>825</v>
      </c>
      <c r="C25" s="105"/>
      <c r="D25" s="105"/>
      <c r="E25" s="105"/>
    </row>
    <row r="26" spans="1:6" ht="15.6" customHeight="1" x14ac:dyDescent="0.25">
      <c r="A26" s="106" t="s">
        <v>829</v>
      </c>
      <c r="B26" s="107" t="s">
        <v>826</v>
      </c>
      <c r="C26" s="108" t="s">
        <v>827</v>
      </c>
      <c r="D26" s="108" t="s">
        <v>828</v>
      </c>
      <c r="E26" s="105"/>
    </row>
    <row r="27" spans="1:6" ht="16.5" customHeight="1" x14ac:dyDescent="0.25">
      <c r="A27" s="109" t="s">
        <v>829</v>
      </c>
      <c r="B27" s="110">
        <f>7.5</f>
        <v>7.5</v>
      </c>
      <c r="C27" s="111">
        <f>2200</f>
        <v>2200</v>
      </c>
      <c r="D27" s="111">
        <f>1460</f>
        <v>1460</v>
      </c>
      <c r="E27" s="105"/>
      <c r="F27" s="75">
        <f>B27*C27</f>
        <v>16500</v>
      </c>
    </row>
    <row r="28" spans="1:6" x14ac:dyDescent="0.25">
      <c r="A28" s="112" t="s">
        <v>830</v>
      </c>
      <c r="B28" s="113"/>
      <c r="C28" s="114"/>
      <c r="D28" s="115"/>
      <c r="E28" s="1876" t="s">
        <v>823</v>
      </c>
    </row>
    <row r="29" spans="1:6" x14ac:dyDescent="0.25">
      <c r="A29" s="112" t="s">
        <v>832</v>
      </c>
      <c r="B29" s="116">
        <f>6.5</f>
        <v>6.5</v>
      </c>
      <c r="C29" s="1877" t="s">
        <v>831</v>
      </c>
      <c r="D29" s="117"/>
      <c r="E29" s="1876"/>
    </row>
    <row r="30" spans="1:6" x14ac:dyDescent="0.25">
      <c r="A30" s="118" t="s">
        <v>833</v>
      </c>
      <c r="B30" s="116">
        <f>25.2</f>
        <v>25.2</v>
      </c>
      <c r="C30" s="1877"/>
      <c r="D30" s="117"/>
      <c r="E30" s="1876"/>
    </row>
    <row r="31" spans="1:6" ht="25.5" customHeight="1" x14ac:dyDescent="0.25">
      <c r="A31" s="119" t="s">
        <v>973</v>
      </c>
      <c r="B31" s="120">
        <f>11</f>
        <v>11</v>
      </c>
      <c r="C31" s="1878"/>
      <c r="D31" s="121"/>
      <c r="E31" s="1876"/>
    </row>
    <row r="32" spans="1:6" x14ac:dyDescent="0.25">
      <c r="A32" s="90"/>
      <c r="B32" s="119"/>
      <c r="C32" s="119"/>
      <c r="D32" s="119"/>
      <c r="E32" s="94"/>
    </row>
    <row r="33" spans="1:23" x14ac:dyDescent="0.25">
      <c r="A33" s="90" t="s">
        <v>866</v>
      </c>
      <c r="B33" s="91"/>
      <c r="C33" s="92" t="s">
        <v>899</v>
      </c>
      <c r="D33" s="93" t="s">
        <v>900</v>
      </c>
      <c r="E33" s="94"/>
      <c r="G33" s="75">
        <f>C34*0.86/1000</f>
        <v>0.15299625713070014</v>
      </c>
    </row>
    <row r="34" spans="1:23" x14ac:dyDescent="0.25">
      <c r="A34" s="90"/>
      <c r="B34" s="91" t="s">
        <v>1599</v>
      </c>
      <c r="C34" s="122">
        <f>('Расчет базового уровня'!F144+'Расчет базового уровня'!F151-'Расчет базового уровня'!F148)*'Расчет базового уровня'!D158</f>
        <v>177.90262457058157</v>
      </c>
      <c r="D34" s="123">
        <f>('Расчет после реализации'!F144+'Расчет после реализации'!F151-'Расчет после реализации'!F148)*'Расчет после реализации'!D158</f>
        <v>203.88481497422831</v>
      </c>
      <c r="E34" s="75" t="s">
        <v>1603</v>
      </c>
    </row>
    <row r="35" spans="1:23" x14ac:dyDescent="0.25">
      <c r="A35" s="90">
        <f>C35*$C$43*0.00272/$C$44</f>
        <v>7.9003287972568476E-2</v>
      </c>
      <c r="B35" s="91" t="s">
        <v>1601</v>
      </c>
      <c r="C35" s="124">
        <f>3.6*C34/('Ввод исходных данных'!$D$177-'Ввод исходных данных'!$D$178)/4.2</f>
        <v>3.3886214203920297</v>
      </c>
      <c r="D35" s="124">
        <f>3.6*D34/('Ввод исходных данных'!$D$177-'Ввод исходных данных'!$D$178)/4.2</f>
        <v>3.8835202852233963</v>
      </c>
      <c r="E35" s="93" t="s">
        <v>885</v>
      </c>
    </row>
    <row r="36" spans="1:23" x14ac:dyDescent="0.25">
      <c r="A36" s="77" t="s">
        <v>867</v>
      </c>
      <c r="B36" s="91" t="s">
        <v>1602</v>
      </c>
      <c r="C36" s="125">
        <f>C35*$C$43*0.00272/$C$44*(24*'Ввод исходных данных'!D246)</f>
        <v>437.9942285199196</v>
      </c>
      <c r="D36" s="125">
        <f>D35*$C$43*0.00272/$C$44*(24*'Ввод исходных данных'!D246)</f>
        <v>501.96208435437893</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25">
      <c r="A37" s="126" t="s">
        <v>870</v>
      </c>
      <c r="B37" s="127" t="s">
        <v>921</v>
      </c>
      <c r="C37" s="128" t="s">
        <v>868</v>
      </c>
      <c r="D37" s="129" t="s">
        <v>869</v>
      </c>
      <c r="E37" s="94" t="s">
        <v>488</v>
      </c>
      <c r="F37" s="75" t="s">
        <v>489</v>
      </c>
      <c r="K37" s="94"/>
    </row>
    <row r="38" spans="1:23" ht="28.5" x14ac:dyDescent="0.25">
      <c r="A38" s="130" t="s">
        <v>871</v>
      </c>
      <c r="B38" s="131"/>
      <c r="C38" s="131"/>
      <c r="D38" s="132"/>
      <c r="K38" s="94"/>
    </row>
    <row r="39" spans="1:23" ht="37.5" x14ac:dyDescent="0.25">
      <c r="A39" s="133" t="s">
        <v>874</v>
      </c>
      <c r="B39" s="134" t="s">
        <v>872</v>
      </c>
      <c r="C39" s="135">
        <f>40</f>
        <v>40</v>
      </c>
      <c r="D39" s="136" t="s">
        <v>873</v>
      </c>
      <c r="K39" s="94"/>
    </row>
    <row r="40" spans="1:23" ht="46.5" customHeight="1" x14ac:dyDescent="0.25">
      <c r="A40" s="137" t="s">
        <v>876</v>
      </c>
      <c r="B40" s="138" t="s">
        <v>875</v>
      </c>
      <c r="C40" s="139">
        <f>C39/(1163*1)</f>
        <v>3.4393809114359415E-2</v>
      </c>
      <c r="D40" s="140"/>
      <c r="G40" s="141">
        <f>'Расчет базового уровня'!O35/('Ввод исходных данных'!$D$177-'Ввод исходных данных'!$D$178)/4.2*3.6</f>
        <v>1259.0819191829526</v>
      </c>
      <c r="H40" s="141">
        <f>'Расчет базового уровня'!R35/('Ввод исходных данных'!$D$177-'Ввод исходных данных'!$D$178)/4.2*3.6</f>
        <v>639.6706561166452</v>
      </c>
      <c r="I40" s="141">
        <f>'Расчет базового уровня'!U35/('Ввод исходных данных'!$D$177-'Ввод исходных данных'!$D$178)/4.2*3.6</f>
        <v>-92.193901081689887</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63.885942379704566</v>
      </c>
      <c r="N40" s="141">
        <f>'Расчет базового уровня'!AJ35/('Ввод исходных данных'!$D$177-'Ввод исходных данных'!$D$178)/4.2*3.6</f>
        <v>651.50138618696087</v>
      </c>
      <c r="O40" s="141">
        <f>'Расчет базового уровня'!AM35/('Ввод исходных данных'!$D$177-'Ввод исходных данных'!$D$178)/4.2*3.6</f>
        <v>1163.8630038475542</v>
      </c>
      <c r="P40" s="141">
        <f>'Расчет базового уровня'!AP35/('Ввод исходных данных'!$D$177-'Ввод исходных данных'!$D$178)/4.2*3.6</f>
        <v>1603.2651586132122</v>
      </c>
    </row>
    <row r="41" spans="1:23" ht="22.5" customHeight="1" x14ac:dyDescent="0.25">
      <c r="A41" s="142" t="s">
        <v>1388</v>
      </c>
      <c r="B41" s="134" t="s">
        <v>494</v>
      </c>
      <c r="C41" s="143">
        <f>'Расчет базового уровня'!C35/('Ввод исходных данных'!D177-'Ввод исходных данных'!D178)/4.2*3.6</f>
        <v>8855.3621706838276</v>
      </c>
      <c r="D41" s="136" t="s">
        <v>877</v>
      </c>
      <c r="E41" s="141">
        <f>'Расчет базового уровня'!I35/('Ввод исходных данных'!$D$177-'Ввод исходных данных'!$D$178)/4.2*3.6</f>
        <v>1761.2509078598894</v>
      </c>
      <c r="F41" s="141">
        <f>'Расчет базового уровня'!L35/('Ввод исходных данных'!$D$177-'Ввод исходных данных'!$D$178)/4.2*3.6</f>
        <v>1509.2662397461318</v>
      </c>
      <c r="G41" s="144">
        <f>'Расчет после реализации'!N35/('Ввод исходных данных'!$D$177-'Ввод исходных данных'!$D$178)/4.2*3.6</f>
        <v>1024.7973683429891</v>
      </c>
      <c r="H41" s="144">
        <f>'Расчет после реализации'!P35/('Ввод исходных данных'!$D$177-'Ввод исходных данных'!$D$178)/4.2*3.6</f>
        <v>201.18584756107279</v>
      </c>
      <c r="I41" s="144">
        <f>'Расчет после реализации'!R35/('Ввод исходных данных'!$D$177-'Ввод исходных данных'!$D$178)/4.2*3.6</f>
        <v>33.416678219291114</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0</v>
      </c>
      <c r="N41" s="144">
        <f>'Расчет после реализации'!AB35/('Ввод исходных данных'!$D$177-'Ввод исходных данных'!$D$178)/4.2*3.6</f>
        <v>795.56105836260554</v>
      </c>
      <c r="O41" s="144">
        <f>'Расчет после реализации'!AD35/('Ввод исходных данных'!$D$177-'Ввод исходных данных'!$D$178)/4.2*3.6</f>
        <v>1409.3981123496749</v>
      </c>
      <c r="P41" s="144">
        <f>'Расчет после реализации'!AF35/('Ввод исходных данных'!$D$177-'Ввод исходных данных'!$D$178)/4.2*3.6</f>
        <v>1336.2581506314987</v>
      </c>
      <c r="Q41" s="144"/>
      <c r="R41" s="144"/>
      <c r="S41" s="144"/>
      <c r="T41" s="144"/>
      <c r="U41" s="144"/>
      <c r="V41" s="144"/>
      <c r="W41" s="144"/>
    </row>
    <row r="42" spans="1:23" ht="24" customHeight="1" x14ac:dyDescent="0.25">
      <c r="A42" s="145" t="s">
        <v>878</v>
      </c>
      <c r="B42" s="146"/>
      <c r="C42" s="144">
        <f>'Расчет после реализации'!D35/('Ввод исходных данных'!$D$177-'Ввод исходных данных'!$D$178)/4.2*3.6</f>
        <v>7799.5210368915714</v>
      </c>
      <c r="D42" s="147"/>
      <c r="E42" s="144">
        <f>'Расчет после реализации'!J35/('Ввод исходных данных'!$D$177-'Ввод исходных данных'!$D$178)/4.2*3.6</f>
        <v>1550.0879975816299</v>
      </c>
      <c r="F42" s="144">
        <f>'Расчет после реализации'!L35/('Ввод исходных данных'!$D$177-'Ввод исходных данных'!$D$178)/4.2*3.6</f>
        <v>1299.2375687304752</v>
      </c>
      <c r="K42" s="94"/>
    </row>
    <row r="43" spans="1:23" ht="38.25" customHeight="1" x14ac:dyDescent="0.25">
      <c r="A43" s="148" t="s">
        <v>879</v>
      </c>
      <c r="B43" s="134" t="s">
        <v>922</v>
      </c>
      <c r="C43" s="135">
        <v>6</v>
      </c>
      <c r="D43" s="136" t="s">
        <v>923</v>
      </c>
      <c r="J43" s="99"/>
      <c r="K43" s="94"/>
    </row>
    <row r="44" spans="1:23" ht="12" customHeight="1" x14ac:dyDescent="0.25">
      <c r="A44" s="149" t="s">
        <v>597</v>
      </c>
      <c r="B44" s="110"/>
      <c r="C44" s="150">
        <v>0.7</v>
      </c>
      <c r="D44" s="151" t="s">
        <v>880</v>
      </c>
      <c r="K44" s="94"/>
    </row>
    <row r="45" spans="1:23" ht="36" x14ac:dyDescent="0.25">
      <c r="A45" s="152" t="s">
        <v>882</v>
      </c>
      <c r="B45" s="153"/>
      <c r="C45" s="154">
        <f>1</f>
        <v>1</v>
      </c>
      <c r="D45" s="155" t="s">
        <v>881</v>
      </c>
      <c r="G45" s="99"/>
      <c r="H45" s="99"/>
      <c r="I45" s="99"/>
      <c r="J45" s="99"/>
      <c r="K45" s="99"/>
      <c r="L45" s="99"/>
      <c r="M45" s="99"/>
      <c r="N45" s="99"/>
      <c r="O45" s="99"/>
      <c r="P45" s="99"/>
    </row>
    <row r="46" spans="1:23" ht="25.5" x14ac:dyDescent="0.25">
      <c r="A46" s="156" t="s">
        <v>1607</v>
      </c>
      <c r="B46" s="134" t="s">
        <v>883</v>
      </c>
      <c r="C46" s="139">
        <f>$C$43*0.00272/$C$44</f>
        <v>2.3314285714285718E-2</v>
      </c>
      <c r="D46" s="151"/>
      <c r="E46" s="99"/>
      <c r="F46" s="99"/>
      <c r="G46" s="157">
        <f t="shared" ref="G46:P46" si="0">0.00272*G40*10/$C$44</f>
        <v>48.92432600253759</v>
      </c>
      <c r="H46" s="157">
        <f t="shared" si="0"/>
        <v>24.855774066246788</v>
      </c>
      <c r="I46" s="157">
        <f t="shared" si="0"/>
        <v>-3.5823915848885215</v>
      </c>
      <c r="J46" s="157">
        <f t="shared" si="0"/>
        <v>0</v>
      </c>
      <c r="K46" s="157">
        <f t="shared" si="0"/>
        <v>0</v>
      </c>
      <c r="L46" s="157">
        <f t="shared" si="0"/>
        <v>0</v>
      </c>
      <c r="M46" s="157">
        <f t="shared" si="0"/>
        <v>2.4824251896113778</v>
      </c>
      <c r="N46" s="157">
        <f t="shared" si="0"/>
        <v>25.31548243469334</v>
      </c>
      <c r="O46" s="157">
        <f t="shared" si="0"/>
        <v>45.224391006647828</v>
      </c>
      <c r="P46" s="157">
        <f t="shared" si="0"/>
        <v>62.298303306113397</v>
      </c>
    </row>
    <row r="47" spans="1:23" x14ac:dyDescent="0.25">
      <c r="A47" s="158" t="s">
        <v>1388</v>
      </c>
      <c r="B47" s="134" t="s">
        <v>842</v>
      </c>
      <c r="C47" s="157">
        <f>0.00272*C41*10/$C$44</f>
        <v>344.09407291800022</v>
      </c>
      <c r="D47" s="159"/>
      <c r="E47" s="157">
        <f>0.00272*E41*10/$C$44</f>
        <v>68.437178133984276</v>
      </c>
      <c r="F47" s="157">
        <f>0.00272*F41*10/$C$44</f>
        <v>58.64577388727826</v>
      </c>
      <c r="G47" s="157">
        <f t="shared" ref="G47:P47" si="1">0.00272*G41*10/$C$44</f>
        <v>39.820697741327578</v>
      </c>
      <c r="H47" s="157">
        <f t="shared" si="1"/>
        <v>7.8175072195159716</v>
      </c>
      <c r="I47" s="157">
        <f t="shared" si="1"/>
        <v>1.298476639378169</v>
      </c>
      <c r="J47" s="157">
        <f t="shared" si="1"/>
        <v>0</v>
      </c>
      <c r="K47" s="157">
        <f t="shared" si="1"/>
        <v>0</v>
      </c>
      <c r="L47" s="157">
        <f t="shared" si="1"/>
        <v>0</v>
      </c>
      <c r="M47" s="157">
        <f t="shared" si="1"/>
        <v>0</v>
      </c>
      <c r="N47" s="157">
        <f t="shared" si="1"/>
        <v>30.913229696375534</v>
      </c>
      <c r="O47" s="157">
        <f t="shared" si="1"/>
        <v>54.765183794158801</v>
      </c>
      <c r="P47" s="157">
        <f t="shared" si="1"/>
        <v>51.923173853109667</v>
      </c>
    </row>
    <row r="48" spans="1:23" ht="25.5" x14ac:dyDescent="0.25">
      <c r="A48" s="156" t="s">
        <v>1608</v>
      </c>
      <c r="B48" s="134"/>
      <c r="C48" s="157">
        <f>0.00272*C42*10/$C$44</f>
        <v>303.06710314778684</v>
      </c>
      <c r="D48" s="159"/>
      <c r="E48" s="157">
        <f>0.00272*E42*10/$C$44</f>
        <v>60.231990763171915</v>
      </c>
      <c r="F48" s="157">
        <f>0.00272*F42*10/$C$44</f>
        <v>50.484659813527045</v>
      </c>
      <c r="G48" s="160">
        <f>$C$35*$C$43*0.00272/$C$44*(24*'Расчет после реализации'!I146)</f>
        <v>58.778446251590942</v>
      </c>
      <c r="H48" s="160">
        <f>$C$35*$C$43*0.00272/$C$44*(24*'Расчет после реализации'!J146)</f>
        <v>56.882367340249303</v>
      </c>
      <c r="I48" s="160">
        <f>$C$35*$C$43*0.00272/$C$44*(24*'Расчет после реализации'!K146)</f>
        <v>37.921578226832871</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56.882367340249303</v>
      </c>
      <c r="O48" s="160">
        <f>$C$35*$C$43*0.00272/$C$44*(24*'Расчет после реализации'!Q146)</f>
        <v>56.882367340249303</v>
      </c>
      <c r="P48" s="160">
        <f>$C$35*$C$43*0.00272/$C$44*(24*'Расчет после реализации'!R146)</f>
        <v>58.778446251590942</v>
      </c>
      <c r="Q48" s="99"/>
    </row>
    <row r="49" spans="1:17" x14ac:dyDescent="0.25">
      <c r="A49" s="158" t="s">
        <v>1388</v>
      </c>
      <c r="B49" s="134" t="s">
        <v>842</v>
      </c>
      <c r="C49" s="160">
        <f>C35*6*0.00272/$C$44*(24*'Ввод исходных данных'!D246)</f>
        <v>437.9942285199196</v>
      </c>
      <c r="D49" s="161"/>
      <c r="E49" s="160">
        <f>$C$35*$C$43*0.00272/$C$44*(24*'Расчет после реализации'!G146)</f>
        <v>58.778446251590942</v>
      </c>
      <c r="F49" s="160">
        <f>$C$35*$C$43*0.00272/$C$44*(24*'Расчет после реализации'!H146)</f>
        <v>53.090209517566016</v>
      </c>
      <c r="G49" s="162">
        <f>$D$35*$C$43*0.00272/$C$44*(24*'Расчет после реализации'!I146)</f>
        <v>67.362877121150419</v>
      </c>
      <c r="H49" s="162">
        <f>$D$35*$C$43*0.00272/$C$44*(24*'Расчет после реализации'!J146)</f>
        <v>65.189881084984279</v>
      </c>
      <c r="I49" s="162">
        <f>$D$35*$C$43*0.00272/$C$44*(24*'Расчет после реализации'!K146)</f>
        <v>43.459920723322853</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65.189881084984279</v>
      </c>
      <c r="O49" s="162">
        <f>$D$35*$C$43*0.00272/$C$44*(24*'Расчет после реализации'!Q146)</f>
        <v>65.189881084984279</v>
      </c>
      <c r="P49" s="162">
        <f>$D$35*$C$43*0.00272/$C$44*(24*'Расчет после реализации'!R146)</f>
        <v>67.362877121150419</v>
      </c>
      <c r="Q49" s="99"/>
    </row>
    <row r="50" spans="1:17" x14ac:dyDescent="0.25">
      <c r="A50" s="158" t="s">
        <v>1609</v>
      </c>
      <c r="B50" s="163"/>
      <c r="C50" s="164">
        <f>D35*$C$43*0.00272/$C$44*(24*'Ввод исходных данных'!D246)</f>
        <v>501.96208435437893</v>
      </c>
      <c r="D50" s="165"/>
      <c r="E50" s="162">
        <f>$D$35*$C$43*0.00272/$C$44*(24*'Расчет после реализации'!G146)</f>
        <v>67.362877121150419</v>
      </c>
      <c r="F50" s="162">
        <f>$D$35*$C$43*0.00272/$C$44*(24*'Расчет после реализации'!H146)</f>
        <v>60.843889012651992</v>
      </c>
      <c r="G50" s="166">
        <f>IF('Список мероприятий'!$D$33=списки!$N$46,'Система электроснабжения'!G49,'Система электроснабжения'!G47)*IF('Список мероприятий'!AF44=1,0.9,1)*IF('Список мероприятий'!$AB$52=1,0.9572,1)</f>
        <v>39.820697741327578</v>
      </c>
      <c r="H50" s="166">
        <f>IF('Список мероприятий'!$D$33=списки!$N$46,'Система электроснабжения'!H49,'Система электроснабжения'!H47)*IF('Список мероприятий'!AG44=1,0.9,1)*IF('Список мероприятий'!$AB$52=1,0.9572,1)</f>
        <v>7.8175072195159716</v>
      </c>
      <c r="I50" s="166">
        <f>IF('Список мероприятий'!$D$33=списки!$N$46,'Система электроснабжения'!I49,'Система электроснабжения'!I47)*IF('Список мероприятий'!AH44=1,0.9,1)*IF('Список мероприятий'!$AB$52=1,0.9572,1)</f>
        <v>1.298476639378169</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0</v>
      </c>
      <c r="N50" s="166">
        <f>IF('Список мероприятий'!$D$33=списки!$N$46,'Система электроснабжения'!N49,'Система электроснабжения'!N47)*IF('Список мероприятий'!AM44=1,0.9,1)*IF('Список мероприятий'!$AB$52=1,0.9572,1)</f>
        <v>30.913229696375534</v>
      </c>
      <c r="O50" s="166">
        <f>IF('Список мероприятий'!$D$33=списки!$N$46,'Система электроснабжения'!O49,'Система электроснабжения'!O47)*IF('Список мероприятий'!AN44=1,0.9,1)*IF('Список мероприятий'!$AB$52=1,0.9572,1)</f>
        <v>54.765183794158801</v>
      </c>
      <c r="P50" s="166">
        <f>IF('Список мероприятий'!$D$33=списки!$N$46,'Система электроснабжения'!P49,'Система электроснабжения'!P47)*IF('Список мероприятий'!AO44=1,0.9,1)*IF('Список мероприятий'!$AB$52=1,0.9572,1)</f>
        <v>51.923173853109667</v>
      </c>
      <c r="Q50" s="99"/>
    </row>
    <row r="51" spans="1:17" ht="15" customHeight="1" x14ac:dyDescent="0.25">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303.06710314778684</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60.231990763171915</v>
      </c>
      <c r="F51" s="166">
        <f>IF('Список мероприятий'!$D$33=списки!$N$46,'Система электроснабжения'!F50,'Система электроснабжения'!F48)*IF('Список мероприятий'!AE44=1,0.9,1)*IF('Список мероприятий'!$AB$52=1,0.9572,1)</f>
        <v>50.484659813527045</v>
      </c>
      <c r="K51" s="94"/>
    </row>
    <row r="52" spans="1:17" ht="34.5" customHeight="1" x14ac:dyDescent="0.25">
      <c r="A52" s="152" t="s">
        <v>1450</v>
      </c>
      <c r="B52" s="131"/>
      <c r="C52" s="131"/>
      <c r="D52" s="132"/>
      <c r="G52" s="167">
        <f>G55*'Система электроснабжения'!$C$55</f>
        <v>2.4433633321049126</v>
      </c>
      <c r="H52" s="167">
        <f>H55*'Система электроснабжения'!$C$55</f>
        <v>2.4433633321049126</v>
      </c>
      <c r="I52" s="167">
        <f>I55*'Система электроснабжения'!$C$55</f>
        <v>2.1990269988944218</v>
      </c>
      <c r="J52" s="167">
        <f>J55*'Система электроснабжения'!$C$55</f>
        <v>2.1990269988944218</v>
      </c>
      <c r="K52" s="167">
        <f>K55*'Система электроснабжения'!$C$55</f>
        <v>2.1990269988944218</v>
      </c>
      <c r="L52" s="167">
        <f>L55*'Система электроснабжения'!$C$55</f>
        <v>2.1990269988944218</v>
      </c>
      <c r="M52" s="167">
        <f>M55*'Система электроснабжения'!$C$55</f>
        <v>2.1990269988944218</v>
      </c>
      <c r="N52" s="167">
        <f>N55*'Система электроснабжения'!$C$55</f>
        <v>2.4433633321049126</v>
      </c>
      <c r="O52" s="167">
        <f>O55*'Система электроснабжения'!$C$55</f>
        <v>2.4433633321049126</v>
      </c>
      <c r="P52" s="167">
        <f>P55*'Система электроснабжения'!$C$55</f>
        <v>2.4433633321049126</v>
      </c>
    </row>
    <row r="53" spans="1:17" s="171" customFormat="1" ht="19.5" customHeight="1" x14ac:dyDescent="0.25">
      <c r="A53" s="168" t="s">
        <v>1348</v>
      </c>
      <c r="B53" s="169" t="s">
        <v>885</v>
      </c>
      <c r="C53" s="167">
        <f>'Расчет базового уровня'!D171*'Система электроснабжения'!$C$55</f>
        <v>2.4433633321049126</v>
      </c>
      <c r="D53" s="95"/>
      <c r="E53" s="167">
        <f>E56*'Система электроснабжения'!$C$55</f>
        <v>2.4433633321049126</v>
      </c>
      <c r="F53" s="167">
        <f>F56*'Система электроснабжения'!$C$55</f>
        <v>2.4433633321049126</v>
      </c>
      <c r="G53" s="170">
        <f>G56*'Система электроснабжения'!$C$55</f>
        <v>2.4433633321049126</v>
      </c>
      <c r="H53" s="170">
        <f>H56*'Система электроснабжения'!$C$55</f>
        <v>2.4433633321049126</v>
      </c>
      <c r="I53" s="170">
        <f>I56*'Система электроснабжения'!$C$55</f>
        <v>2.1990269988944218</v>
      </c>
      <c r="J53" s="170">
        <f>J56*'Система электроснабжения'!$C$55</f>
        <v>2.1990269988944218</v>
      </c>
      <c r="K53" s="170">
        <f>K56*'Система электроснабжения'!$C$55</f>
        <v>2.1990269988944218</v>
      </c>
      <c r="L53" s="170">
        <f>L56*'Система электроснабжения'!$C$55</f>
        <v>2.1990269988944218</v>
      </c>
      <c r="M53" s="170">
        <f>M56*'Система электроснабжения'!$C$55</f>
        <v>2.1990269988944218</v>
      </c>
      <c r="N53" s="170">
        <f>N56*'Система электроснабжения'!$C$55</f>
        <v>2.4433633321049126</v>
      </c>
      <c r="O53" s="170">
        <f>O56*'Система электроснабжения'!$C$55</f>
        <v>2.4433633321049126</v>
      </c>
      <c r="P53" s="170">
        <f>P56*'Система электроснабжения'!$C$55</f>
        <v>2.4433633321049126</v>
      </c>
    </row>
    <row r="54" spans="1:17" ht="30.75" customHeight="1" x14ac:dyDescent="0.25">
      <c r="A54" s="172" t="s">
        <v>893</v>
      </c>
      <c r="B54" s="173"/>
      <c r="C54" s="174">
        <f>C57*'Система электроснабжения'!C55</f>
        <v>2.4361557706532766</v>
      </c>
      <c r="D54" s="175"/>
      <c r="E54" s="170">
        <f>E57*'Система электроснабжения'!$C$55</f>
        <v>2.4433633321049126</v>
      </c>
      <c r="F54" s="170">
        <f>F57*'Система электроснабжения'!$C$55</f>
        <v>2.4433633321049126</v>
      </c>
      <c r="K54" s="176"/>
      <c r="L54" s="177"/>
      <c r="M54" s="177"/>
      <c r="N54" s="177"/>
      <c r="O54" s="177"/>
      <c r="P54" s="177"/>
    </row>
    <row r="55" spans="1:17" ht="30.75" customHeight="1" x14ac:dyDescent="0.25">
      <c r="A55" s="172"/>
      <c r="B55" s="169"/>
      <c r="C55" s="178">
        <f>11.96*('Ввод исходных данных'!$D$22^(-0.181))</f>
        <v>5.0280475266451177</v>
      </c>
      <c r="D55" s="95"/>
      <c r="E55" s="177"/>
      <c r="F55" s="177"/>
      <c r="G55" s="179">
        <f>'Расчет базового уровня'!I171</f>
        <v>0.48594674556213013</v>
      </c>
      <c r="H55" s="179">
        <f>'Расчет базового уровня'!J171</f>
        <v>0.48594674556213013</v>
      </c>
      <c r="I55" s="179">
        <f>'Расчет базового уровня'!K171</f>
        <v>0.43735207100591716</v>
      </c>
      <c r="J55" s="179">
        <f>'Расчет базового уровня'!L171</f>
        <v>0.43735207100591716</v>
      </c>
      <c r="K55" s="179">
        <f>'Расчет базового уровня'!M171</f>
        <v>0.43735207100591716</v>
      </c>
      <c r="L55" s="179">
        <f>'Расчет базового уровня'!N171</f>
        <v>0.43735207100591716</v>
      </c>
      <c r="M55" s="179">
        <f>'Расчет базового уровня'!O171</f>
        <v>0.43735207100591716</v>
      </c>
      <c r="N55" s="179">
        <f>'Расчет базового уровня'!P171</f>
        <v>0.48594674556213013</v>
      </c>
      <c r="O55" s="179">
        <f>'Расчет базового уровня'!Q171</f>
        <v>0.48594674556213013</v>
      </c>
      <c r="P55" s="179">
        <f>'Расчет базового уровня'!R171</f>
        <v>0.48594674556213013</v>
      </c>
    </row>
    <row r="56" spans="1:17" s="171" customFormat="1" ht="16.5" customHeight="1" x14ac:dyDescent="0.25">
      <c r="A56" s="180" t="s">
        <v>1451</v>
      </c>
      <c r="B56" s="169"/>
      <c r="C56" s="178"/>
      <c r="D56" s="95"/>
      <c r="E56" s="179">
        <f>'Расчет базового уровня'!G171</f>
        <v>0.48594674556213013</v>
      </c>
      <c r="F56" s="179">
        <f>'Расчет базового уровня'!H171</f>
        <v>0.48594674556213013</v>
      </c>
      <c r="G56" s="181">
        <f>'Расчет после реализации'!I169</f>
        <v>0.48594674556213013</v>
      </c>
      <c r="H56" s="181">
        <f>'Расчет после реализации'!J169</f>
        <v>0.48594674556213013</v>
      </c>
      <c r="I56" s="181">
        <f>'Расчет после реализации'!K169</f>
        <v>0.43735207100591716</v>
      </c>
      <c r="J56" s="181">
        <f>'Расчет после реализации'!L169</f>
        <v>0.43735207100591716</v>
      </c>
      <c r="K56" s="181">
        <f>'Расчет после реализации'!M169</f>
        <v>0.43735207100591716</v>
      </c>
      <c r="L56" s="181">
        <f>'Расчет после реализации'!N169</f>
        <v>0.43735207100591716</v>
      </c>
      <c r="M56" s="181">
        <f>'Расчет после реализации'!O169</f>
        <v>0.43735207100591716</v>
      </c>
      <c r="N56" s="181">
        <f>'Расчет после реализации'!P169</f>
        <v>0.48594674556213013</v>
      </c>
      <c r="O56" s="181">
        <f>'Расчет после реализации'!Q169</f>
        <v>0.48594674556213013</v>
      </c>
      <c r="P56" s="181">
        <f>'Расчет после реализации'!R169</f>
        <v>0.48594674556213013</v>
      </c>
    </row>
    <row r="57" spans="1:17" ht="24" customHeight="1" x14ac:dyDescent="0.25">
      <c r="A57" s="148" t="s">
        <v>886</v>
      </c>
      <c r="B57" s="173"/>
      <c r="C57" s="182">
        <f>'Расчет после реализации'!D169</f>
        <v>0.48451327433628327</v>
      </c>
      <c r="D57" s="175"/>
      <c r="E57" s="181">
        <f>'Расчет после реализации'!G169</f>
        <v>0.48594674556213013</v>
      </c>
      <c r="F57" s="181">
        <f>'Расчет после реализации'!H169</f>
        <v>0.48594674556213013</v>
      </c>
    </row>
    <row r="58" spans="1:17" ht="36" x14ac:dyDescent="0.25">
      <c r="A58" s="172" t="s">
        <v>888</v>
      </c>
      <c r="B58" s="110"/>
      <c r="C58" s="183">
        <v>0.1</v>
      </c>
      <c r="D58" s="184" t="s">
        <v>887</v>
      </c>
      <c r="G58" s="143">
        <f t="shared" ref="G58:P58" si="2">G52*(1+$C$58)</f>
        <v>2.6876996653154039</v>
      </c>
      <c r="H58" s="143">
        <f t="shared" si="2"/>
        <v>2.6876996653154039</v>
      </c>
      <c r="I58" s="143">
        <f t="shared" si="2"/>
        <v>2.418929698783864</v>
      </c>
      <c r="J58" s="143">
        <f t="shared" si="2"/>
        <v>2.418929698783864</v>
      </c>
      <c r="K58" s="143">
        <f t="shared" si="2"/>
        <v>2.418929698783864</v>
      </c>
      <c r="L58" s="143">
        <f t="shared" si="2"/>
        <v>2.418929698783864</v>
      </c>
      <c r="M58" s="143">
        <f t="shared" si="2"/>
        <v>2.418929698783864</v>
      </c>
      <c r="N58" s="143">
        <f t="shared" si="2"/>
        <v>2.6876996653154039</v>
      </c>
      <c r="O58" s="143">
        <f t="shared" si="2"/>
        <v>2.6876996653154039</v>
      </c>
      <c r="P58" s="143">
        <f t="shared" si="2"/>
        <v>2.6876996653154039</v>
      </c>
    </row>
    <row r="59" spans="1:17" s="171" customFormat="1" x14ac:dyDescent="0.25">
      <c r="A59" s="168" t="s">
        <v>1348</v>
      </c>
      <c r="B59" s="169" t="s">
        <v>885</v>
      </c>
      <c r="C59" s="143">
        <f>C53*(1+C$58)</f>
        <v>2.6876996653154039</v>
      </c>
      <c r="D59" s="95"/>
      <c r="E59" s="143">
        <f>E53*(1+$C$58)</f>
        <v>2.6876996653154039</v>
      </c>
      <c r="F59" s="143">
        <f>F53*(1+$C$58)</f>
        <v>2.6876996653154039</v>
      </c>
      <c r="G59" s="144">
        <f t="shared" ref="G59:P59" si="3">G53*(1+$C$58)</f>
        <v>2.6876996653154039</v>
      </c>
      <c r="H59" s="144">
        <f t="shared" si="3"/>
        <v>2.6876996653154039</v>
      </c>
      <c r="I59" s="144">
        <f t="shared" si="3"/>
        <v>2.418929698783864</v>
      </c>
      <c r="J59" s="144">
        <f t="shared" si="3"/>
        <v>2.418929698783864</v>
      </c>
      <c r="K59" s="144">
        <f t="shared" si="3"/>
        <v>2.418929698783864</v>
      </c>
      <c r="L59" s="144">
        <f t="shared" si="3"/>
        <v>2.418929698783864</v>
      </c>
      <c r="M59" s="144">
        <f t="shared" si="3"/>
        <v>2.418929698783864</v>
      </c>
      <c r="N59" s="144">
        <f t="shared" si="3"/>
        <v>2.6876996653154039</v>
      </c>
      <c r="O59" s="144">
        <f t="shared" si="3"/>
        <v>2.6876996653154039</v>
      </c>
      <c r="P59" s="144">
        <f t="shared" si="3"/>
        <v>2.6876996653154039</v>
      </c>
    </row>
    <row r="60" spans="1:17" x14ac:dyDescent="0.25">
      <c r="A60" s="145" t="s">
        <v>878</v>
      </c>
      <c r="B60" s="173"/>
      <c r="C60" s="144">
        <f>C54*(1+C$58)</f>
        <v>2.6797713477186043</v>
      </c>
      <c r="D60" s="175"/>
      <c r="E60" s="144">
        <f>E54*(1+$C$58)</f>
        <v>2.6876996653154039</v>
      </c>
      <c r="F60" s="144">
        <f>F54*(1+$C$58)</f>
        <v>2.6876996653154039</v>
      </c>
      <c r="K60" s="94"/>
    </row>
    <row r="61" spans="1:17" ht="48" x14ac:dyDescent="0.25">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25">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25">
      <c r="A63" s="148" t="s">
        <v>597</v>
      </c>
      <c r="B63" s="110"/>
      <c r="C63" s="150">
        <v>0.7</v>
      </c>
      <c r="D63" s="151" t="s">
        <v>880</v>
      </c>
      <c r="K63" s="94"/>
    </row>
    <row r="64" spans="1:17" ht="27.95" customHeight="1" x14ac:dyDescent="0.25">
      <c r="A64" s="156" t="s">
        <v>891</v>
      </c>
      <c r="B64" s="110"/>
      <c r="C64" s="150">
        <f>1</f>
        <v>1</v>
      </c>
      <c r="D64" s="151" t="s">
        <v>881</v>
      </c>
      <c r="G64" s="185">
        <f>0.00272*G58*$C$61*G61/($C$63*$C$64)</f>
        <v>77.70062941007825</v>
      </c>
      <c r="H64" s="185">
        <f>0.00272*H58*$C$61*H61/($C$63*$C$64)</f>
        <v>75.194157493624104</v>
      </c>
      <c r="I64" s="185">
        <f>0.00272*I58*$C$61*I61/($C$63*$C$64)</f>
        <v>69.930566469070442</v>
      </c>
      <c r="J64" s="185">
        <f>0.00272*J58*$C$61*J61/($C$63*$C$64)</f>
        <v>67.674741744261723</v>
      </c>
      <c r="K64" s="185">
        <f>0.00272*K58*$C$61*K61/($C$63*$C$64)</f>
        <v>38.349020321748306</v>
      </c>
      <c r="L64" s="185">
        <f t="shared" ref="L64:P64" si="4">0.00272*L58*$C$61*L61/($C$63*$C$64)</f>
        <v>69.930566469070442</v>
      </c>
      <c r="M64" s="185">
        <f t="shared" si="4"/>
        <v>67.674741744261723</v>
      </c>
      <c r="N64" s="185">
        <f t="shared" si="4"/>
        <v>77.70062941007825</v>
      </c>
      <c r="O64" s="185">
        <f t="shared" si="4"/>
        <v>75.194157493624104</v>
      </c>
      <c r="P64" s="185">
        <f t="shared" si="4"/>
        <v>77.70062941007825</v>
      </c>
    </row>
    <row r="65" spans="1:16" s="171" customFormat="1" ht="27.95" customHeight="1" x14ac:dyDescent="0.25">
      <c r="A65" s="186" t="s">
        <v>1349</v>
      </c>
      <c r="B65" s="134" t="s">
        <v>842</v>
      </c>
      <c r="C65" s="185">
        <f>0.00272*C59*C61*C62/(C63*C64)</f>
        <v>879.77164267540218</v>
      </c>
      <c r="D65" s="95"/>
      <c r="E65" s="185">
        <f>0.00272*E59*$C$61*E62/($C$63*$C$64)</f>
        <v>77.70062941007825</v>
      </c>
      <c r="F65" s="185">
        <f>0.00272*F59*$C$61*F62/($C$63*$C$64)</f>
        <v>70.181213660715827</v>
      </c>
      <c r="G65" s="187">
        <f>0.00272*G59*$C$61*G61/(C63*C64)*IF('Список мероприятий'!AB44=1,0.9,1)*IF('Список мероприятий'!AB52=1,0.9572,1)</f>
        <v>77.70062941007825</v>
      </c>
      <c r="H65" s="187">
        <f>0.00272*H59*$C$61*H61/(C63*C64)*IF('Список мероприятий'!AB44=1,0.9,1)*IF('Список мероприятий'!AB52=1,0.9572,1)</f>
        <v>75.194157493624104</v>
      </c>
      <c r="I65" s="187">
        <f>0.00272*I59*$C$61*I61/(C63*C64)*IF('Список мероприятий'!AB44=1,0.9,1)*IF('Список мероприятий'!AB52=1,0.9572,1)</f>
        <v>69.930566469070442</v>
      </c>
      <c r="J65" s="187">
        <f>0.00272*J59*$C$61*J61/(C63*C64)*IF('Список мероприятий'!AB44=1,0.9,1)*IF('Список мероприятий'!AB52=1,0.9572,1)</f>
        <v>67.674741744261723</v>
      </c>
      <c r="K65" s="187">
        <f>0.00272*K59*$C$61*K61/(C63*C64)*IF('Список мероприятий'!AB44=1,0.9,1)*IF('Список мероприятий'!AB52=1,0.9572,1)</f>
        <v>38.349020321748306</v>
      </c>
      <c r="L65" s="187">
        <f>0.00272*L59*$C$61*L61/(C63*C64)*IF('Список мероприятий'!AB44=1,0.9,1)*IF('Список мероприятий'!AB52=1,0.9572,1)</f>
        <v>69.930566469070442</v>
      </c>
      <c r="M65" s="187">
        <f>0.00272*M59*$C$61*M61/(C63*C64)*IF('Список мероприятий'!AB44=1,0.9,1)*IF('Список мероприятий'!AB52=1,0.9572,1)</f>
        <v>67.674741744261723</v>
      </c>
      <c r="N65" s="187">
        <f>0.00272*N59*$C$61*N61/(C63*C64)*IF('Список мероприятий'!AB44=1,0.9,1)*IF('Список мероприятий'!AB52=1,0.9572,1)</f>
        <v>77.70062941007825</v>
      </c>
      <c r="O65" s="187">
        <f>0.00272*O59*$C$61*O61/(C63*C64)*IF('Список мероприятий'!AB44=1,0.9,1)*IF('Список мероприятий'!AB52=1,0.9572,1)</f>
        <v>75.194157493624104</v>
      </c>
      <c r="P65" s="187">
        <f>0.00272*P59*$C$61*P61/(C63*C64)*IF('Список мероприятий'!AB44=1,0.9,1)*IF('Список мероприятий'!AB52=1,0.9572,1)</f>
        <v>77.70062941007825</v>
      </c>
    </row>
    <row r="66" spans="1:16" ht="27.95" customHeight="1" x14ac:dyDescent="0.25">
      <c r="A66" s="100" t="s">
        <v>974</v>
      </c>
      <c r="B66" s="188"/>
      <c r="C66" s="189">
        <f>0.00272*C60*C61*C62/(C63*C64)*IF('Список мероприятий'!AB44=1,0.9,1)*IF('Список мероприятий'!AB52=1,0.9572,1)</f>
        <v>877.17644608933927</v>
      </c>
      <c r="D66" s="190"/>
      <c r="E66" s="187">
        <f>0.00272*E60*$C$61*E62/(C63*C64)*IF('Список мероприятий'!AB44=1,0.9,1)*IF('Список мероприятий'!AB52=1,0.9572,1)</f>
        <v>77.70062941007825</v>
      </c>
      <c r="F66" s="187">
        <f>0.00272*F60*$C$61*F62/(C63*C64)*IF('Список мероприятий'!AB44=1,0.9,1)*IF('Список мероприятий'!AB52=1,0.9572,1)</f>
        <v>70.181213660715827</v>
      </c>
      <c r="G66" s="100"/>
    </row>
    <row r="67" spans="1:16" x14ac:dyDescent="0.25">
      <c r="A67" s="90" t="s">
        <v>892</v>
      </c>
      <c r="B67" s="100"/>
      <c r="C67" s="100"/>
      <c r="D67" s="100"/>
      <c r="E67" s="100"/>
      <c r="F67" s="100"/>
    </row>
    <row r="68" spans="1:16" x14ac:dyDescent="0.25">
      <c r="A68" s="1879" t="s">
        <v>834</v>
      </c>
      <c r="B68" s="91"/>
      <c r="C68" s="92"/>
      <c r="D68" s="93"/>
      <c r="E68" s="94"/>
      <c r="G68" s="129"/>
    </row>
    <row r="69" spans="1:16" x14ac:dyDescent="0.25">
      <c r="A69" s="1879"/>
      <c r="B69" s="1879" t="s">
        <v>835</v>
      </c>
      <c r="C69" s="129" t="s">
        <v>754</v>
      </c>
      <c r="D69" s="129"/>
      <c r="E69" s="129"/>
      <c r="F69" s="129"/>
      <c r="G69" s="191" t="s">
        <v>840</v>
      </c>
    </row>
    <row r="70" spans="1:16" ht="51" x14ac:dyDescent="0.25">
      <c r="A70" s="192" t="s">
        <v>841</v>
      </c>
      <c r="B70" s="1879"/>
      <c r="C70" s="193" t="s">
        <v>836</v>
      </c>
      <c r="D70" s="194" t="s">
        <v>837</v>
      </c>
      <c r="E70" s="194" t="s">
        <v>838</v>
      </c>
      <c r="F70" s="194" t="s">
        <v>839</v>
      </c>
      <c r="G70" s="82">
        <f>10.9</f>
        <v>10.9</v>
      </c>
    </row>
    <row r="71" spans="1:16" ht="15" customHeight="1" x14ac:dyDescent="0.25">
      <c r="A71" s="195" t="s">
        <v>843</v>
      </c>
      <c r="B71" s="196" t="s">
        <v>842</v>
      </c>
      <c r="C71" s="197">
        <f>8</f>
        <v>8</v>
      </c>
      <c r="D71" s="183">
        <f>8.5</f>
        <v>8.5</v>
      </c>
      <c r="E71" s="82">
        <f>9.3</f>
        <v>9.3000000000000007</v>
      </c>
      <c r="F71" s="82">
        <f>10</f>
        <v>10</v>
      </c>
      <c r="G71" s="195"/>
    </row>
    <row r="72" spans="1:16" x14ac:dyDescent="0.25">
      <c r="A72" s="90"/>
      <c r="B72" s="195"/>
      <c r="C72" s="195"/>
      <c r="D72" s="195"/>
      <c r="E72" s="195"/>
      <c r="F72" s="195"/>
    </row>
    <row r="73" spans="1:16" x14ac:dyDescent="0.25">
      <c r="B73" s="91"/>
      <c r="C73" s="92"/>
      <c r="D73" s="93"/>
      <c r="E73" s="94"/>
    </row>
    <row r="75" spans="1:16" ht="15.75" thickBot="1" x14ac:dyDescent="0.3">
      <c r="D75" s="75">
        <f>(1/0.77^2-1/0.96^2)/(1/0.77^2)*0.12</f>
        <v>4.2799479166666668E-2</v>
      </c>
    </row>
    <row r="76" spans="1:16" ht="108.75" customHeight="1" thickBot="1" x14ac:dyDescent="0.3">
      <c r="A76" s="198" t="s">
        <v>565</v>
      </c>
      <c r="D76" s="75">
        <f>1-D75</f>
        <v>0.95720052083333329</v>
      </c>
    </row>
    <row r="77" spans="1:16" ht="82.5" thickBot="1" x14ac:dyDescent="0.3">
      <c r="A77" s="199" t="s">
        <v>568</v>
      </c>
      <c r="B77" s="198" t="s">
        <v>566</v>
      </c>
      <c r="C77" s="200" t="s">
        <v>567</v>
      </c>
    </row>
    <row r="78" spans="1:16" ht="16.5" thickBot="1" x14ac:dyDescent="0.3">
      <c r="A78" s="199" t="s">
        <v>569</v>
      </c>
      <c r="B78" s="201">
        <v>50</v>
      </c>
      <c r="C78" s="202">
        <v>6</v>
      </c>
    </row>
    <row r="79" spans="1:16" ht="16.5" thickBot="1" x14ac:dyDescent="0.3">
      <c r="A79" s="199" t="s">
        <v>570</v>
      </c>
      <c r="B79" s="201">
        <v>20</v>
      </c>
      <c r="C79" s="202">
        <v>4</v>
      </c>
    </row>
    <row r="80" spans="1:16" ht="16.5" thickBot="1" x14ac:dyDescent="0.3">
      <c r="B80" s="201">
        <v>20</v>
      </c>
      <c r="C80" s="202">
        <v>4</v>
      </c>
    </row>
    <row r="82" spans="1:5" ht="15.75" x14ac:dyDescent="0.25">
      <c r="A82" s="203" t="s">
        <v>571</v>
      </c>
    </row>
    <row r="83" spans="1:5" ht="31.5" x14ac:dyDescent="0.25">
      <c r="A83" s="204" t="s">
        <v>575</v>
      </c>
      <c r="B83" s="203" t="s">
        <v>572</v>
      </c>
      <c r="C83" s="203" t="s">
        <v>573</v>
      </c>
      <c r="D83" s="203" t="s">
        <v>574</v>
      </c>
    </row>
    <row r="84" spans="1:5" ht="15.75" x14ac:dyDescent="0.25">
      <c r="A84" s="204" t="s">
        <v>576</v>
      </c>
      <c r="B84" s="203"/>
      <c r="C84" s="203"/>
    </row>
    <row r="85" spans="1:5" ht="31.5" x14ac:dyDescent="0.25">
      <c r="A85" s="205"/>
      <c r="B85" s="204" t="s">
        <v>577</v>
      </c>
      <c r="C85" s="203" t="s">
        <v>579</v>
      </c>
      <c r="D85" s="75">
        <v>2920</v>
      </c>
      <c r="E85" s="75">
        <v>120</v>
      </c>
    </row>
    <row r="86" spans="1:5" ht="63" x14ac:dyDescent="0.25">
      <c r="A86" s="205"/>
      <c r="B86" s="204" t="s">
        <v>578</v>
      </c>
      <c r="C86" s="203" t="s">
        <v>579</v>
      </c>
      <c r="D86" s="75">
        <v>4380</v>
      </c>
      <c r="E86" s="75">
        <v>360</v>
      </c>
    </row>
    <row r="87" spans="1:5" ht="15.75" x14ac:dyDescent="0.25">
      <c r="A87" s="1873" t="s">
        <v>580</v>
      </c>
      <c r="B87" s="205"/>
      <c r="C87" s="203" t="s">
        <v>579</v>
      </c>
      <c r="D87" s="75">
        <v>2920</v>
      </c>
      <c r="E87" s="75">
        <v>120</v>
      </c>
    </row>
    <row r="88" spans="1:5" ht="47.25" x14ac:dyDescent="0.25">
      <c r="A88" s="1874"/>
      <c r="B88" s="204" t="s">
        <v>581</v>
      </c>
      <c r="C88" s="203" t="s">
        <v>579</v>
      </c>
      <c r="D88" s="75">
        <v>8760</v>
      </c>
      <c r="E88" s="75">
        <v>240</v>
      </c>
    </row>
    <row r="89" spans="1:5" ht="15.75" x14ac:dyDescent="0.25">
      <c r="A89" s="1874"/>
      <c r="B89" s="204" t="s">
        <v>582</v>
      </c>
      <c r="C89" s="203"/>
    </row>
    <row r="90" spans="1:5" ht="31.5" x14ac:dyDescent="0.25">
      <c r="A90" s="1874"/>
      <c r="B90" s="204" t="s">
        <v>583</v>
      </c>
      <c r="C90" s="203" t="s">
        <v>579</v>
      </c>
      <c r="D90" s="75">
        <v>300</v>
      </c>
    </row>
    <row r="91" spans="1:5" ht="47.25" x14ac:dyDescent="0.25">
      <c r="A91" s="1875"/>
      <c r="B91" s="206" t="s">
        <v>584</v>
      </c>
      <c r="C91" s="203" t="s">
        <v>579</v>
      </c>
      <c r="D91" s="75">
        <v>100</v>
      </c>
    </row>
    <row r="92" spans="1:5" ht="15.75" x14ac:dyDescent="0.25">
      <c r="A92" s="204" t="s">
        <v>585</v>
      </c>
      <c r="B92" s="205"/>
      <c r="C92" s="203" t="s">
        <v>579</v>
      </c>
      <c r="D92" s="75">
        <v>40</v>
      </c>
    </row>
    <row r="93" spans="1:5" ht="15.75" x14ac:dyDescent="0.25">
      <c r="B93" s="203" t="s">
        <v>586</v>
      </c>
      <c r="C93" s="203" t="s">
        <v>586</v>
      </c>
      <c r="D93" s="75">
        <v>2200</v>
      </c>
      <c r="E93" s="75">
        <v>1460</v>
      </c>
    </row>
    <row r="94" spans="1:5" ht="19.5" thickBot="1" x14ac:dyDescent="0.3">
      <c r="A94" s="207" t="s">
        <v>587</v>
      </c>
    </row>
    <row r="95" spans="1:5" ht="16.5" thickBot="1" x14ac:dyDescent="0.3">
      <c r="A95" s="200" t="s">
        <v>588</v>
      </c>
    </row>
    <row r="96" spans="1:5" ht="19.5" thickBot="1" x14ac:dyDescent="0.3">
      <c r="A96" s="208" t="s">
        <v>590</v>
      </c>
      <c r="B96" s="209" t="s">
        <v>589</v>
      </c>
    </row>
    <row r="97" spans="1:2" ht="16.5" thickBot="1" x14ac:dyDescent="0.3">
      <c r="A97" s="208" t="s">
        <v>591</v>
      </c>
      <c r="B97" s="210">
        <v>1</v>
      </c>
    </row>
    <row r="98" spans="1:2" ht="16.5" thickBot="1" x14ac:dyDescent="0.3">
      <c r="A98" s="208" t="s">
        <v>593</v>
      </c>
      <c r="B98" s="210" t="s">
        <v>592</v>
      </c>
    </row>
    <row r="99" spans="1:2" ht="16.5" thickBot="1" x14ac:dyDescent="0.3">
      <c r="A99" s="208" t="s">
        <v>595</v>
      </c>
      <c r="B99" s="210" t="s">
        <v>594</v>
      </c>
    </row>
    <row r="100" spans="1:2" ht="16.5" thickBot="1" x14ac:dyDescent="0.3">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40625" defaultRowHeight="15" x14ac:dyDescent="0.25"/>
  <cols>
    <col min="1" max="1" width="44" style="75" customWidth="1"/>
    <col min="2" max="2" width="21.7109375" style="75" customWidth="1"/>
    <col min="3" max="3" width="23.5703125" style="75" customWidth="1"/>
    <col min="4" max="4" width="9.140625" style="75"/>
    <col min="5" max="5" width="11.42578125" style="75" customWidth="1"/>
    <col min="6" max="7" width="9.140625" style="75"/>
    <col min="8" max="8" width="9.140625" style="225"/>
    <col min="9" max="9" width="46" style="75" customWidth="1"/>
    <col min="10" max="15" width="9.140625" style="75"/>
    <col min="16" max="16" width="9.140625" style="225"/>
    <col min="17" max="16384" width="9.140625" style="75"/>
  </cols>
  <sheetData>
    <row r="1" spans="1:59" ht="62.25" customHeight="1" x14ac:dyDescent="0.45">
      <c r="A1" s="1763" t="s">
        <v>1462</v>
      </c>
      <c r="B1" s="1763"/>
      <c r="C1" s="1763"/>
      <c r="D1" s="1763"/>
      <c r="E1" s="1763"/>
      <c r="F1" s="1763"/>
      <c r="G1" s="1763"/>
      <c r="H1" s="1763"/>
      <c r="I1" s="1763"/>
      <c r="J1" s="1763"/>
      <c r="K1" s="1763"/>
      <c r="L1" s="1763"/>
      <c r="M1" s="1763"/>
      <c r="N1" s="1763"/>
      <c r="O1" s="1763"/>
      <c r="P1" s="1763"/>
      <c r="Q1" s="1763"/>
      <c r="R1" s="1763"/>
      <c r="S1" s="1763"/>
      <c r="T1" s="1763"/>
      <c r="U1" s="1763"/>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H2" s="84"/>
      <c r="I2" s="84"/>
      <c r="J2" s="84"/>
      <c r="K2" s="84"/>
      <c r="L2" s="84"/>
      <c r="M2" s="84"/>
      <c r="N2" s="84"/>
      <c r="O2" s="84"/>
      <c r="P2" s="84"/>
      <c r="Q2" s="84"/>
    </row>
    <row r="3" spans="1:59" x14ac:dyDescent="0.25">
      <c r="A3" s="1885" t="s">
        <v>1463</v>
      </c>
      <c r="B3" s="1886" t="s">
        <v>919</v>
      </c>
      <c r="C3" s="1887" t="s">
        <v>1004</v>
      </c>
      <c r="D3" s="1887" t="s">
        <v>790</v>
      </c>
      <c r="F3" s="211">
        <v>1</v>
      </c>
      <c r="H3" s="84"/>
      <c r="I3" s="84"/>
      <c r="J3" s="84"/>
      <c r="K3" s="84"/>
      <c r="L3" s="84"/>
      <c r="M3" s="84"/>
      <c r="N3" s="84"/>
      <c r="O3" s="84"/>
      <c r="P3" s="84"/>
      <c r="Q3" s="84"/>
    </row>
    <row r="4" spans="1:59" x14ac:dyDescent="0.25">
      <c r="A4" s="1885"/>
      <c r="B4" s="1886"/>
      <c r="C4" s="1887"/>
      <c r="D4" s="1887"/>
      <c r="E4" s="212">
        <v>2</v>
      </c>
      <c r="F4" s="101" t="s">
        <v>732</v>
      </c>
      <c r="H4" s="212">
        <f>IF(F3=2,0,1)</f>
        <v>1</v>
      </c>
      <c r="J4" s="84"/>
      <c r="K4" s="84"/>
      <c r="L4" s="84"/>
      <c r="M4" s="84"/>
      <c r="N4" s="84"/>
      <c r="O4" s="84"/>
      <c r="P4" s="84"/>
      <c r="Q4" s="84"/>
    </row>
    <row r="5" spans="1:59" x14ac:dyDescent="0.25">
      <c r="A5" s="213" t="s">
        <v>820</v>
      </c>
      <c r="B5" s="214" t="s">
        <v>789</v>
      </c>
      <c r="C5" s="214">
        <f>195-D5</f>
        <v>110</v>
      </c>
      <c r="D5" s="82">
        <f>85</f>
        <v>85</v>
      </c>
      <c r="E5" s="211">
        <f>IF($E$4=1,1,0)</f>
        <v>0</v>
      </c>
      <c r="F5" s="215" t="s">
        <v>814</v>
      </c>
      <c r="H5" s="84"/>
      <c r="I5" s="84"/>
      <c r="J5" s="84"/>
      <c r="K5" s="84"/>
      <c r="L5" s="84"/>
      <c r="M5" s="84"/>
      <c r="N5" s="84"/>
      <c r="O5" s="84"/>
      <c r="P5" s="84"/>
      <c r="Q5" s="84"/>
    </row>
    <row r="6" spans="1:59" ht="25.5" x14ac:dyDescent="0.25">
      <c r="A6" s="213" t="s">
        <v>819</v>
      </c>
      <c r="B6" s="214" t="s">
        <v>789</v>
      </c>
      <c r="C6" s="214">
        <f>230-D6</f>
        <v>140</v>
      </c>
      <c r="D6" s="82">
        <f>90</f>
        <v>90</v>
      </c>
      <c r="E6" s="211">
        <f>IF($E$4=2,1,0)</f>
        <v>1</v>
      </c>
      <c r="F6" s="215" t="s">
        <v>815</v>
      </c>
      <c r="H6" s="84"/>
      <c r="I6" s="84"/>
      <c r="J6" s="84"/>
      <c r="K6" s="84"/>
      <c r="L6" s="84"/>
      <c r="M6" s="84"/>
      <c r="N6" s="84"/>
      <c r="O6" s="84"/>
      <c r="P6" s="84"/>
      <c r="Q6" s="84"/>
    </row>
    <row r="7" spans="1:59" ht="25.5" x14ac:dyDescent="0.25">
      <c r="A7" s="213" t="s">
        <v>818</v>
      </c>
      <c r="B7" s="214" t="s">
        <v>789</v>
      </c>
      <c r="C7" s="214">
        <f>250-D7</f>
        <v>145</v>
      </c>
      <c r="D7" s="82">
        <f>105</f>
        <v>105</v>
      </c>
      <c r="E7" s="211">
        <f>IF($E$4=3,1,0)</f>
        <v>0</v>
      </c>
      <c r="F7" s="215" t="s">
        <v>813</v>
      </c>
      <c r="H7" s="84"/>
      <c r="I7" s="84"/>
      <c r="J7" s="84"/>
      <c r="K7" s="84"/>
      <c r="L7" s="84"/>
      <c r="M7" s="84"/>
      <c r="N7" s="84"/>
      <c r="O7" s="84"/>
      <c r="P7" s="84"/>
      <c r="Q7" s="84"/>
    </row>
    <row r="8" spans="1:59" ht="25.5" x14ac:dyDescent="0.25">
      <c r="A8" s="216" t="s">
        <v>816</v>
      </c>
      <c r="B8" s="214" t="s">
        <v>789</v>
      </c>
      <c r="C8" s="214">
        <f>250-D8</f>
        <v>150</v>
      </c>
      <c r="D8" s="82">
        <f>100</f>
        <v>100</v>
      </c>
      <c r="E8" s="211">
        <f>IF($E$4=4,1,0)</f>
        <v>0</v>
      </c>
      <c r="F8" s="217" t="s">
        <v>812</v>
      </c>
      <c r="H8" s="84"/>
      <c r="I8" s="84"/>
      <c r="J8" s="84"/>
      <c r="K8" s="84"/>
      <c r="L8" s="84"/>
      <c r="M8" s="84"/>
      <c r="N8" s="84"/>
      <c r="O8" s="84"/>
      <c r="P8" s="84"/>
      <c r="Q8" s="84"/>
    </row>
    <row r="9" spans="1:59" ht="25.5" x14ac:dyDescent="0.25">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25">
      <c r="H10" s="84"/>
      <c r="I10" s="84"/>
      <c r="J10" s="218"/>
      <c r="K10" s="219"/>
      <c r="L10" s="220"/>
      <c r="M10" s="84"/>
      <c r="N10" s="84"/>
      <c r="O10" s="84"/>
      <c r="P10" s="84"/>
      <c r="Q10" s="84"/>
    </row>
    <row r="11" spans="1:59" x14ac:dyDescent="0.25">
      <c r="B11" s="221">
        <f>IF(F14=1,1,0)</f>
        <v>1</v>
      </c>
      <c r="C11" s="221">
        <f>IF(F14=0,1,0)</f>
        <v>0</v>
      </c>
      <c r="H11" s="84"/>
      <c r="I11" s="84"/>
      <c r="J11" s="84"/>
      <c r="K11" s="84"/>
      <c r="L11" s="84"/>
      <c r="M11" s="84"/>
      <c r="N11" s="84"/>
      <c r="O11" s="84"/>
      <c r="P11" s="84"/>
      <c r="Q11" s="84"/>
    </row>
    <row r="12" spans="1:59" ht="18" x14ac:dyDescent="0.35">
      <c r="A12" s="1887" t="s">
        <v>791</v>
      </c>
      <c r="B12" s="1888" t="s">
        <v>797</v>
      </c>
      <c r="C12" s="1888"/>
      <c r="E12" s="75">
        <f>SUMPRODUCT(D14:D17,B14:B17)*B11+SUMPRODUCT(D14:D17,C14:C17)*C11</f>
        <v>0.25</v>
      </c>
      <c r="H12" s="84"/>
      <c r="I12" s="84"/>
      <c r="J12" s="84"/>
      <c r="K12" s="84"/>
      <c r="L12" s="84"/>
      <c r="M12" s="84"/>
      <c r="N12" s="84"/>
      <c r="O12" s="84"/>
      <c r="P12" s="84"/>
      <c r="Q12" s="84"/>
    </row>
    <row r="13" spans="1:59" ht="87.6" customHeight="1" x14ac:dyDescent="0.25">
      <c r="A13" s="1887"/>
      <c r="B13" s="222" t="s">
        <v>796</v>
      </c>
      <c r="C13" s="222" t="s">
        <v>1464</v>
      </c>
      <c r="F13" s="211"/>
      <c r="G13" s="211">
        <f>IF(F20=1,1,IF(F21=1,2,0))</f>
        <v>1</v>
      </c>
      <c r="H13" s="84"/>
      <c r="I13" s="84"/>
      <c r="J13" s="84"/>
      <c r="K13" s="84"/>
      <c r="L13" s="84"/>
      <c r="M13" s="84"/>
      <c r="N13" s="84"/>
      <c r="O13" s="84"/>
      <c r="P13" s="84"/>
      <c r="Q13" s="84"/>
    </row>
    <row r="14" spans="1:59" ht="25.5" x14ac:dyDescent="0.25">
      <c r="A14" s="223" t="s">
        <v>792</v>
      </c>
      <c r="B14" s="224">
        <f>0.25</f>
        <v>0.25</v>
      </c>
      <c r="C14" s="224">
        <f>0.2</f>
        <v>0.2</v>
      </c>
      <c r="D14" s="75">
        <f>IF(AND($F$15=1,$F$16=1),1,0)</f>
        <v>0</v>
      </c>
      <c r="E14" s="75" t="s">
        <v>731</v>
      </c>
      <c r="F14" s="211">
        <f>IF(OR(G13=1),1,0)</f>
        <v>1</v>
      </c>
      <c r="G14" s="211" t="b">
        <v>1</v>
      </c>
    </row>
    <row r="15" spans="1:59" ht="25.5" x14ac:dyDescent="0.25">
      <c r="A15" s="223" t="s">
        <v>793</v>
      </c>
      <c r="B15" s="224">
        <f>0.15</f>
        <v>0.15</v>
      </c>
      <c r="C15" s="224">
        <f>0.1</f>
        <v>0.1</v>
      </c>
      <c r="D15" s="75">
        <f>IF(AND($F$15=1,$F$16=0),1,0)</f>
        <v>0</v>
      </c>
      <c r="E15" s="75" t="s">
        <v>729</v>
      </c>
      <c r="F15" s="211">
        <f t="shared" ref="F15:F17" si="0">IF(G15=TRUE,1,0)</f>
        <v>0</v>
      </c>
      <c r="G15" s="211" t="b">
        <v>0</v>
      </c>
    </row>
    <row r="16" spans="1:59" ht="25.5" x14ac:dyDescent="0.25">
      <c r="A16" s="223" t="s">
        <v>794</v>
      </c>
      <c r="B16" s="224">
        <v>0.35</v>
      </c>
      <c r="C16" s="224">
        <v>0.3</v>
      </c>
      <c r="D16" s="75">
        <f>IF(AND($F$15=0,$F$16=1),1,0)</f>
        <v>0</v>
      </c>
      <c r="E16" s="75" t="s">
        <v>730</v>
      </c>
      <c r="F16" s="211">
        <f t="shared" si="0"/>
        <v>0</v>
      </c>
      <c r="G16" s="211" t="b">
        <v>0</v>
      </c>
    </row>
    <row r="17" spans="1:11" ht="25.5" x14ac:dyDescent="0.25">
      <c r="A17" s="223" t="s">
        <v>795</v>
      </c>
      <c r="B17" s="224">
        <f>0.25</f>
        <v>0.25</v>
      </c>
      <c r="C17" s="224">
        <f>0.2</f>
        <v>0.2</v>
      </c>
      <c r="D17" s="75">
        <f>IF(AND($F$15=0,$F$16=0),1,0)</f>
        <v>1</v>
      </c>
      <c r="E17" s="75" t="s">
        <v>1381</v>
      </c>
      <c r="F17" s="211">
        <f t="shared" si="0"/>
        <v>0</v>
      </c>
      <c r="G17" s="211" t="b">
        <v>0</v>
      </c>
    </row>
    <row r="18" spans="1:11" x14ac:dyDescent="0.25">
      <c r="F18" s="211"/>
      <c r="G18" s="211">
        <v>2</v>
      </c>
    </row>
    <row r="19" spans="1:11" x14ac:dyDescent="0.25">
      <c r="E19" s="75" t="s">
        <v>1382</v>
      </c>
      <c r="F19" s="211">
        <f>IF($G$18=1,1,0)</f>
        <v>0</v>
      </c>
      <c r="G19" s="211"/>
    </row>
    <row r="20" spans="1:11" x14ac:dyDescent="0.25">
      <c r="E20" s="75" t="s">
        <v>1555</v>
      </c>
      <c r="F20" s="211">
        <f>IF($G$18=2,1,0)</f>
        <v>1</v>
      </c>
      <c r="G20" s="211"/>
    </row>
    <row r="21" spans="1:11" x14ac:dyDescent="0.25">
      <c r="E21" s="75" t="s">
        <v>1556</v>
      </c>
      <c r="F21" s="211">
        <f>IF($G$18=3,1,0)</f>
        <v>0</v>
      </c>
      <c r="G21" s="211"/>
    </row>
    <row r="30" spans="1:11" ht="15.75" thickBot="1" x14ac:dyDescent="0.3"/>
    <row r="31" spans="1:11" ht="16.5" thickBot="1" x14ac:dyDescent="0.3">
      <c r="A31" s="226" t="s">
        <v>728</v>
      </c>
      <c r="B31" s="1883" t="s">
        <v>554</v>
      </c>
      <c r="C31" s="1884"/>
      <c r="I31" s="227" t="s">
        <v>920</v>
      </c>
    </row>
    <row r="32" spans="1:11" ht="63.75" thickBot="1" x14ac:dyDescent="0.3">
      <c r="A32" s="228"/>
      <c r="B32" s="229" t="s">
        <v>555</v>
      </c>
      <c r="C32" s="230" t="s">
        <v>556</v>
      </c>
      <c r="I32" s="1880" t="s">
        <v>1465</v>
      </c>
      <c r="J32" s="1880"/>
      <c r="K32" s="1880"/>
    </row>
    <row r="33" spans="1:15" ht="32.25" thickBot="1" x14ac:dyDescent="0.3">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5" thickBot="1" x14ac:dyDescent="0.3">
      <c r="A34" s="233" t="s">
        <v>495</v>
      </c>
      <c r="B34" s="233">
        <v>0.25</v>
      </c>
      <c r="C34" s="233">
        <v>0.2</v>
      </c>
      <c r="D34" s="233">
        <f>IF((G15=TRUE)*AND(G16=TRUE)*AND(G14=TRUE),1,0)</f>
        <v>0</v>
      </c>
      <c r="E34" s="233">
        <f>IF((G15=TRUE)*AND(G16=TRUE)*AND(G14=FALSE),1,0)</f>
        <v>0</v>
      </c>
      <c r="I34" s="234" t="s">
        <v>1466</v>
      </c>
      <c r="J34" s="1881"/>
      <c r="K34" s="1882"/>
    </row>
    <row r="35" spans="1:15" ht="32.25" thickBot="1" x14ac:dyDescent="0.3">
      <c r="A35" s="231" t="s">
        <v>558</v>
      </c>
      <c r="B35" s="229">
        <v>0.35</v>
      </c>
      <c r="C35" s="229">
        <v>0.3</v>
      </c>
      <c r="D35" s="229">
        <f>IF((G15=FALSE)*AND(G16=TRUE)*AND(G14=TRUE),1,0)</f>
        <v>0</v>
      </c>
      <c r="E35" s="229">
        <f>IF((G15=FALSE)*AND(G16=TRUE)*AND(G14=FALSE),1,0)</f>
        <v>0</v>
      </c>
      <c r="I35" s="235"/>
      <c r="J35" s="236" t="s">
        <v>598</v>
      </c>
      <c r="K35" s="236" t="s">
        <v>599</v>
      </c>
    </row>
    <row r="36" spans="1:15" ht="15.75" thickBot="1" x14ac:dyDescent="0.3">
      <c r="I36" s="237" t="s">
        <v>600</v>
      </c>
      <c r="J36" s="238">
        <v>40</v>
      </c>
      <c r="K36" s="238">
        <v>45</v>
      </c>
      <c r="N36" s="211"/>
    </row>
    <row r="37" spans="1:15" ht="15.75" thickBot="1" x14ac:dyDescent="0.3">
      <c r="I37" s="237" t="s">
        <v>601</v>
      </c>
      <c r="J37" s="238">
        <v>48</v>
      </c>
      <c r="K37" s="238">
        <v>55</v>
      </c>
      <c r="M37" s="95"/>
      <c r="N37" s="239">
        <v>1</v>
      </c>
      <c r="O37" s="239"/>
    </row>
    <row r="38" spans="1:15" ht="43.5" thickBot="1" x14ac:dyDescent="0.3">
      <c r="I38" s="237" t="s">
        <v>602</v>
      </c>
      <c r="J38" s="238">
        <v>60</v>
      </c>
      <c r="K38" s="238">
        <v>70</v>
      </c>
      <c r="L38" s="75">
        <f>IF((N38=0)*AND(N39=1),1,0)</f>
        <v>0</v>
      </c>
      <c r="M38" s="95" t="s">
        <v>732</v>
      </c>
      <c r="N38" s="239">
        <f>IF(N37=1,1,0)</f>
        <v>1</v>
      </c>
      <c r="O38" s="239"/>
    </row>
    <row r="39" spans="1:15" ht="15.75" thickBot="1" x14ac:dyDescent="0.3">
      <c r="I39" s="237" t="s">
        <v>603</v>
      </c>
      <c r="J39" s="238">
        <v>85</v>
      </c>
      <c r="K39" s="238">
        <v>95</v>
      </c>
      <c r="L39" s="75">
        <f>IF((N38=0)*AND(N41=0)*AND(N40=1),1,0)</f>
        <v>0</v>
      </c>
      <c r="M39" s="95" t="s">
        <v>733</v>
      </c>
      <c r="N39" s="239">
        <f>IF(N37=2,1,0)</f>
        <v>0</v>
      </c>
      <c r="O39" s="239"/>
    </row>
    <row r="40" spans="1:15" ht="29.25" thickBot="1" x14ac:dyDescent="0.3">
      <c r="I40" s="237" t="s">
        <v>604</v>
      </c>
      <c r="J40" s="238">
        <v>95</v>
      </c>
      <c r="K40" s="238">
        <v>105</v>
      </c>
      <c r="L40" s="75">
        <f>IF((N38=1)*AND(N41=0),1,0)</f>
        <v>0</v>
      </c>
      <c r="M40" s="95" t="s">
        <v>734</v>
      </c>
      <c r="N40" s="239">
        <f>IF(N37=3,1,0)</f>
        <v>0</v>
      </c>
      <c r="O40" s="239"/>
    </row>
    <row r="41" spans="1:15" ht="29.25" thickBot="1" x14ac:dyDescent="0.3">
      <c r="I41" s="237" t="s">
        <v>605</v>
      </c>
      <c r="J41" s="238">
        <v>100</v>
      </c>
      <c r="K41" s="238">
        <v>115</v>
      </c>
      <c r="L41" s="75">
        <f>IF((N38=1)*AND(N41=1),1,0)</f>
        <v>1</v>
      </c>
      <c r="M41" s="95" t="s">
        <v>735</v>
      </c>
      <c r="N41" s="239">
        <f>IF(O41=TRUE,1,0)</f>
        <v>1</v>
      </c>
      <c r="O41" s="239" t="b">
        <v>1</v>
      </c>
    </row>
    <row r="43" spans="1:15" ht="15.75" thickBot="1" x14ac:dyDescent="0.3">
      <c r="A43" s="240" t="s">
        <v>736</v>
      </c>
      <c r="B43" s="240"/>
    </row>
    <row r="44" spans="1:15" ht="35.25" thickBot="1" x14ac:dyDescent="0.3">
      <c r="A44" s="200" t="s">
        <v>549</v>
      </c>
      <c r="B44" s="209" t="s">
        <v>550</v>
      </c>
    </row>
    <row r="45" spans="1:15" ht="16.5" thickBot="1" x14ac:dyDescent="0.3">
      <c r="A45" s="241">
        <v>150</v>
      </c>
      <c r="B45" s="210">
        <v>5.15</v>
      </c>
    </row>
    <row r="46" spans="1:15" ht="16.5" thickBot="1" x14ac:dyDescent="0.3">
      <c r="A46" s="241">
        <v>250</v>
      </c>
      <c r="B46" s="210">
        <v>4.5</v>
      </c>
    </row>
    <row r="47" spans="1:15" ht="16.5" thickBot="1" x14ac:dyDescent="0.3">
      <c r="A47" s="241">
        <v>350</v>
      </c>
      <c r="B47" s="210">
        <v>4.0999999999999996</v>
      </c>
    </row>
    <row r="48" spans="1:15" ht="16.5" thickBot="1" x14ac:dyDescent="0.3">
      <c r="A48" s="241">
        <v>500</v>
      </c>
      <c r="B48" s="210">
        <v>3.75</v>
      </c>
    </row>
    <row r="49" spans="1:2" ht="16.5" thickBot="1" x14ac:dyDescent="0.3">
      <c r="A49" s="241">
        <v>700</v>
      </c>
      <c r="B49" s="210">
        <v>3.5</v>
      </c>
    </row>
    <row r="50" spans="1:2" ht="16.5" thickBot="1" x14ac:dyDescent="0.3">
      <c r="A50" s="242">
        <v>1000</v>
      </c>
      <c r="B50" s="210">
        <v>3.27</v>
      </c>
    </row>
    <row r="51" spans="1:2" ht="16.5" thickBot="1" x14ac:dyDescent="0.3">
      <c r="A51" s="242">
        <v>1500</v>
      </c>
      <c r="B51" s="210">
        <v>3.09</v>
      </c>
    </row>
    <row r="52" spans="1:2" ht="16.5" thickBot="1" x14ac:dyDescent="0.3">
      <c r="A52" s="242">
        <v>2000</v>
      </c>
      <c r="B52" s="210">
        <v>2.97</v>
      </c>
    </row>
    <row r="53" spans="1:2" ht="16.5" thickBot="1" x14ac:dyDescent="0.3">
      <c r="A53" s="242">
        <v>3000</v>
      </c>
      <c r="B53" s="210">
        <v>2.85</v>
      </c>
    </row>
    <row r="54" spans="1:2" ht="16.5" thickBot="1" x14ac:dyDescent="0.3">
      <c r="A54" s="242">
        <v>5000</v>
      </c>
      <c r="B54" s="210">
        <v>2.74</v>
      </c>
    </row>
    <row r="59" spans="1:2" x14ac:dyDescent="0.25">
      <c r="A59" s="243">
        <v>150</v>
      </c>
      <c r="B59" s="97">
        <v>5.15</v>
      </c>
    </row>
    <row r="60" spans="1:2" x14ac:dyDescent="0.25">
      <c r="A60" s="243">
        <v>250</v>
      </c>
      <c r="B60" s="243">
        <v>4.5</v>
      </c>
    </row>
    <row r="61" spans="1:2" x14ac:dyDescent="0.25">
      <c r="A61" s="243">
        <v>350</v>
      </c>
      <c r="B61" s="243">
        <v>4.0999999999999996</v>
      </c>
    </row>
    <row r="62" spans="1:2" x14ac:dyDescent="0.25">
      <c r="A62" s="243">
        <v>500</v>
      </c>
      <c r="B62" s="243">
        <v>3.75</v>
      </c>
    </row>
    <row r="63" spans="1:2" x14ac:dyDescent="0.25">
      <c r="A63" s="243">
        <v>700</v>
      </c>
      <c r="B63" s="243">
        <v>3.5</v>
      </c>
    </row>
    <row r="64" spans="1:2" x14ac:dyDescent="0.25">
      <c r="A64" s="243">
        <v>1000</v>
      </c>
      <c r="B64" s="243">
        <v>3.27</v>
      </c>
    </row>
    <row r="65" spans="1:2" x14ac:dyDescent="0.25">
      <c r="A65" s="243">
        <v>1500</v>
      </c>
      <c r="B65" s="243">
        <v>3.09</v>
      </c>
    </row>
    <row r="66" spans="1:2" x14ac:dyDescent="0.25">
      <c r="A66" s="243">
        <v>2000</v>
      </c>
      <c r="B66" s="243">
        <v>2.97</v>
      </c>
    </row>
    <row r="67" spans="1:2" x14ac:dyDescent="0.25">
      <c r="A67" s="243">
        <v>2500</v>
      </c>
      <c r="B67" s="243">
        <v>2.9</v>
      </c>
    </row>
    <row r="68" spans="1:2" x14ac:dyDescent="0.25">
      <c r="A68" s="243">
        <v>3000</v>
      </c>
      <c r="B68" s="243">
        <v>2.85</v>
      </c>
    </row>
    <row r="69" spans="1:2" x14ac:dyDescent="0.25">
      <c r="A69" s="243">
        <v>4000</v>
      </c>
      <c r="B69" s="243">
        <v>2.78</v>
      </c>
    </row>
    <row r="70" spans="1:2" x14ac:dyDescent="0.25">
      <c r="A70" s="243">
        <v>5000</v>
      </c>
      <c r="B70" s="243">
        <v>2.74</v>
      </c>
    </row>
    <row r="71" spans="1:2" x14ac:dyDescent="0.25">
      <c r="A71" s="243">
        <v>6000</v>
      </c>
      <c r="B71" s="243">
        <v>2.7</v>
      </c>
    </row>
    <row r="72" spans="1:2" x14ac:dyDescent="0.25">
      <c r="A72" s="243">
        <v>7500</v>
      </c>
      <c r="B72" s="243">
        <v>2.65</v>
      </c>
    </row>
    <row r="73" spans="1:2" x14ac:dyDescent="0.25">
      <c r="A73" s="243">
        <v>10000</v>
      </c>
      <c r="B73" s="243">
        <v>2.6</v>
      </c>
    </row>
    <row r="74" spans="1:2" x14ac:dyDescent="0.25">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H543"/>
  <sheetViews>
    <sheetView topLeftCell="BI4" workbookViewId="0">
      <selection activeCell="A4" sqref="A1:BH1048576"/>
    </sheetView>
  </sheetViews>
  <sheetFormatPr defaultColWidth="3.28515625" defaultRowHeight="15" x14ac:dyDescent="0.25"/>
  <cols>
    <col min="1" max="1" width="3.28515625" style="75" hidden="1" customWidth="1"/>
    <col min="2" max="3" width="15" style="75" hidden="1" customWidth="1"/>
    <col min="4" max="4" width="23.85546875" style="75" hidden="1" customWidth="1"/>
    <col min="5" max="60" width="3.28515625" style="75" hidden="1" customWidth="1"/>
    <col min="61" max="66" width="3.28515625" style="75" customWidth="1"/>
    <col min="67" max="16384" width="3.28515625" style="75"/>
  </cols>
  <sheetData>
    <row r="1" spans="2:44" x14ac:dyDescent="0.25">
      <c r="B1" s="75" t="s">
        <v>447</v>
      </c>
      <c r="D1" s="75" t="s">
        <v>442</v>
      </c>
      <c r="F1" s="75" t="s">
        <v>459</v>
      </c>
      <c r="N1" s="75" t="s">
        <v>465</v>
      </c>
    </row>
    <row r="2" spans="2:44" x14ac:dyDescent="0.25">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75" x14ac:dyDescent="0.25">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75" x14ac:dyDescent="0.25">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75" x14ac:dyDescent="0.25">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75" x14ac:dyDescent="0.25">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75" x14ac:dyDescent="0.25">
      <c r="B7" s="95" t="s">
        <v>1943</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75" x14ac:dyDescent="0.25">
      <c r="B8" s="75" t="s">
        <v>1944</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75" x14ac:dyDescent="0.25">
      <c r="B9" s="95" t="s">
        <v>1490</v>
      </c>
      <c r="D9" s="75" t="s">
        <v>454</v>
      </c>
      <c r="F9" s="250" t="s">
        <v>409</v>
      </c>
      <c r="G9" s="251">
        <v>9</v>
      </c>
      <c r="J9" s="257" t="s">
        <v>0</v>
      </c>
      <c r="K9" s="258" t="s">
        <v>5</v>
      </c>
      <c r="R9" s="260" t="s">
        <v>481</v>
      </c>
      <c r="W9" s="265" t="s">
        <v>929</v>
      </c>
      <c r="AG9" s="75" t="str">
        <f>CONCATENATE($AC$6,", ",AE7)</f>
        <v>алюминий, одинарный</v>
      </c>
    </row>
    <row r="10" spans="2:44" ht="15.75" x14ac:dyDescent="0.25">
      <c r="B10" s="95" t="s">
        <v>1433</v>
      </c>
      <c r="D10" s="75" t="s">
        <v>455</v>
      </c>
      <c r="F10" s="255" t="s">
        <v>293</v>
      </c>
      <c r="G10" s="256">
        <v>10</v>
      </c>
      <c r="J10" s="257" t="s">
        <v>0</v>
      </c>
      <c r="K10" s="258" t="s">
        <v>6</v>
      </c>
      <c r="AI10" s="249" t="s">
        <v>1869</v>
      </c>
      <c r="AK10" s="249" t="s">
        <v>804</v>
      </c>
      <c r="AN10" s="75" t="s">
        <v>1301</v>
      </c>
    </row>
    <row r="11" spans="2:44" ht="15.75" x14ac:dyDescent="0.25">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75" x14ac:dyDescent="0.25">
      <c r="B12" s="266" t="s">
        <v>1435</v>
      </c>
      <c r="F12" s="255" t="s">
        <v>422</v>
      </c>
      <c r="G12" s="256">
        <v>12</v>
      </c>
      <c r="J12" s="257" t="s">
        <v>13</v>
      </c>
      <c r="K12" s="258" t="s">
        <v>633</v>
      </c>
      <c r="R12" s="253"/>
      <c r="AI12" s="99">
        <f ca="1">YEAR(TODAY())</f>
        <v>2017</v>
      </c>
      <c r="AK12" s="75" t="s">
        <v>536</v>
      </c>
      <c r="AL12" s="75">
        <v>2</v>
      </c>
      <c r="AM12" s="75">
        <v>28</v>
      </c>
      <c r="AN12" s="262" t="s">
        <v>1318</v>
      </c>
    </row>
    <row r="13" spans="2:44" ht="15.75" x14ac:dyDescent="0.25">
      <c r="B13" s="95" t="s">
        <v>1436</v>
      </c>
      <c r="F13" s="250" t="s">
        <v>95</v>
      </c>
      <c r="G13" s="251">
        <v>13</v>
      </c>
      <c r="J13" s="257" t="s">
        <v>13</v>
      </c>
      <c r="K13" s="258" t="s">
        <v>14</v>
      </c>
      <c r="R13" s="260"/>
      <c r="AK13" s="75" t="s">
        <v>537</v>
      </c>
      <c r="AL13" s="75">
        <v>3</v>
      </c>
      <c r="AM13" s="75">
        <v>31</v>
      </c>
      <c r="AN13" s="262" t="s">
        <v>978</v>
      </c>
    </row>
    <row r="14" spans="2:44" ht="15.75" x14ac:dyDescent="0.25">
      <c r="B14" s="95" t="s">
        <v>445</v>
      </c>
      <c r="F14" s="255" t="s">
        <v>255</v>
      </c>
      <c r="G14" s="256">
        <v>14</v>
      </c>
      <c r="J14" s="257" t="s">
        <v>13</v>
      </c>
      <c r="K14" s="258" t="s">
        <v>15</v>
      </c>
      <c r="R14" s="260"/>
      <c r="AK14" s="75" t="s">
        <v>538</v>
      </c>
      <c r="AL14" s="75">
        <v>4</v>
      </c>
      <c r="AM14" s="75">
        <v>30</v>
      </c>
      <c r="AN14" s="262" t="s">
        <v>979</v>
      </c>
    </row>
    <row r="15" spans="2:44" ht="15.75" x14ac:dyDescent="0.25">
      <c r="B15" s="95" t="s">
        <v>1629</v>
      </c>
      <c r="F15" s="250" t="s">
        <v>91</v>
      </c>
      <c r="G15" s="251">
        <v>15</v>
      </c>
      <c r="J15" s="257" t="s">
        <v>13</v>
      </c>
      <c r="K15" s="258" t="s">
        <v>16</v>
      </c>
      <c r="M15" s="249" t="s">
        <v>613</v>
      </c>
      <c r="O15" s="249" t="s">
        <v>1247</v>
      </c>
      <c r="R15" s="259"/>
      <c r="AK15" s="75" t="s">
        <v>724</v>
      </c>
      <c r="AL15" s="75">
        <v>5</v>
      </c>
      <c r="AM15" s="75">
        <v>31</v>
      </c>
      <c r="AN15" s="262" t="s">
        <v>980</v>
      </c>
    </row>
    <row r="16" spans="2:44" ht="15.75" x14ac:dyDescent="0.25">
      <c r="B16" s="75" t="s">
        <v>1630</v>
      </c>
      <c r="F16" s="255" t="s">
        <v>71</v>
      </c>
      <c r="G16" s="256">
        <v>16</v>
      </c>
      <c r="J16" s="257" t="s">
        <v>13</v>
      </c>
      <c r="K16" s="258" t="s">
        <v>17</v>
      </c>
      <c r="M16" s="254" t="s">
        <v>1269</v>
      </c>
      <c r="O16" s="254" t="s">
        <v>1268</v>
      </c>
      <c r="R16" s="260"/>
      <c r="AK16" s="75" t="s">
        <v>725</v>
      </c>
      <c r="AL16" s="75">
        <v>6</v>
      </c>
      <c r="AM16" s="75">
        <v>30</v>
      </c>
    </row>
    <row r="17" spans="2:40" ht="15.75" x14ac:dyDescent="0.25">
      <c r="B17" s="95" t="s">
        <v>1437</v>
      </c>
      <c r="F17" s="250" t="s">
        <v>614</v>
      </c>
      <c r="G17" s="251">
        <v>17</v>
      </c>
      <c r="J17" s="257" t="s">
        <v>13</v>
      </c>
      <c r="K17" s="258" t="s">
        <v>18</v>
      </c>
      <c r="M17" s="75" t="s">
        <v>1248</v>
      </c>
      <c r="O17" s="95">
        <v>5</v>
      </c>
      <c r="R17" s="259"/>
      <c r="AK17" s="75" t="s">
        <v>720</v>
      </c>
      <c r="AL17" s="75">
        <v>7</v>
      </c>
      <c r="AM17" s="75">
        <v>31</v>
      </c>
    </row>
    <row r="18" spans="2:40" ht="15.75" x14ac:dyDescent="0.25">
      <c r="B18" s="95" t="s">
        <v>1438</v>
      </c>
      <c r="F18" s="255" t="s">
        <v>100</v>
      </c>
      <c r="G18" s="256">
        <v>18</v>
      </c>
      <c r="J18" s="257" t="s">
        <v>13</v>
      </c>
      <c r="K18" s="267" t="s">
        <v>23</v>
      </c>
      <c r="M18" s="75" t="s">
        <v>1249</v>
      </c>
      <c r="O18" s="95">
        <v>10</v>
      </c>
      <c r="R18" s="260"/>
      <c r="AK18" s="75" t="s">
        <v>721</v>
      </c>
      <c r="AL18" s="75">
        <v>8</v>
      </c>
      <c r="AM18" s="75">
        <v>31</v>
      </c>
    </row>
    <row r="19" spans="2:40" ht="15.75" x14ac:dyDescent="0.25">
      <c r="B19" s="95" t="s">
        <v>1439</v>
      </c>
      <c r="F19" s="250" t="s">
        <v>102</v>
      </c>
      <c r="G19" s="251">
        <v>19</v>
      </c>
      <c r="J19" s="257" t="s">
        <v>13</v>
      </c>
      <c r="K19" s="258" t="s">
        <v>20</v>
      </c>
      <c r="M19" s="75" t="s">
        <v>1250</v>
      </c>
      <c r="O19" s="95">
        <v>15</v>
      </c>
      <c r="AK19" s="75" t="s">
        <v>722</v>
      </c>
      <c r="AL19" s="75">
        <v>9</v>
      </c>
      <c r="AM19" s="75">
        <v>30</v>
      </c>
    </row>
    <row r="20" spans="2:40" ht="15.75" x14ac:dyDescent="0.25">
      <c r="B20" s="268" t="s">
        <v>1440</v>
      </c>
      <c r="F20" s="255" t="s">
        <v>615</v>
      </c>
      <c r="G20" s="256">
        <v>20</v>
      </c>
      <c r="J20" s="257" t="s">
        <v>13</v>
      </c>
      <c r="K20" s="258" t="s">
        <v>22</v>
      </c>
      <c r="M20" s="75" t="s">
        <v>1530</v>
      </c>
      <c r="O20" s="95">
        <v>20</v>
      </c>
      <c r="R20" s="248"/>
      <c r="AK20" s="75" t="s">
        <v>727</v>
      </c>
      <c r="AL20" s="75">
        <v>10</v>
      </c>
      <c r="AM20" s="75">
        <v>31</v>
      </c>
    </row>
    <row r="21" spans="2:40" ht="15.75" x14ac:dyDescent="0.25">
      <c r="B21" s="269" t="s">
        <v>1489</v>
      </c>
      <c r="F21" s="250" t="s">
        <v>616</v>
      </c>
      <c r="G21" s="251">
        <v>21</v>
      </c>
      <c r="J21" s="257" t="s">
        <v>13</v>
      </c>
      <c r="K21" s="258" t="s">
        <v>34</v>
      </c>
      <c r="O21" s="95">
        <v>25</v>
      </c>
      <c r="R21" s="253"/>
      <c r="AK21" s="75" t="s">
        <v>533</v>
      </c>
      <c r="AL21" s="75">
        <v>11</v>
      </c>
      <c r="AM21" s="75">
        <v>30</v>
      </c>
    </row>
    <row r="22" spans="2:40" ht="36" customHeight="1" x14ac:dyDescent="0.25">
      <c r="B22" s="268" t="s">
        <v>609</v>
      </c>
      <c r="F22" s="255" t="s">
        <v>113</v>
      </c>
      <c r="G22" s="256">
        <v>22</v>
      </c>
      <c r="J22" s="257" t="s">
        <v>13</v>
      </c>
      <c r="K22" s="258" t="s">
        <v>35</v>
      </c>
      <c r="M22" s="249" t="s">
        <v>1251</v>
      </c>
      <c r="O22" s="95">
        <v>30</v>
      </c>
      <c r="R22" s="259"/>
      <c r="AK22" s="75" t="s">
        <v>534</v>
      </c>
      <c r="AL22" s="75">
        <v>12</v>
      </c>
      <c r="AM22" s="75">
        <v>31</v>
      </c>
    </row>
    <row r="23" spans="2:40" ht="24" x14ac:dyDescent="0.25">
      <c r="B23" s="268" t="s">
        <v>1397</v>
      </c>
      <c r="F23" s="250" t="s">
        <v>142</v>
      </c>
      <c r="G23" s="251">
        <v>23</v>
      </c>
      <c r="J23" s="257" t="s">
        <v>13</v>
      </c>
      <c r="K23" s="258" t="s">
        <v>634</v>
      </c>
      <c r="M23" s="254" t="s">
        <v>1252</v>
      </c>
      <c r="R23" s="260"/>
      <c r="AK23" s="221"/>
    </row>
    <row r="24" spans="2:40" ht="15.75" x14ac:dyDescent="0.25">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42886</v>
      </c>
      <c r="AM24" s="1407"/>
    </row>
    <row r="25" spans="2:40" ht="15.75" x14ac:dyDescent="0.25">
      <c r="B25" s="270"/>
      <c r="F25" s="250" t="s">
        <v>159</v>
      </c>
      <c r="G25" s="251">
        <v>25</v>
      </c>
      <c r="J25" s="257" t="s">
        <v>13</v>
      </c>
      <c r="K25" s="258" t="s">
        <v>25</v>
      </c>
      <c r="R25" s="271"/>
      <c r="AN25" s="221"/>
    </row>
    <row r="26" spans="2:40" s="221" customFormat="1" ht="15.75" x14ac:dyDescent="0.25">
      <c r="B26" s="270"/>
      <c r="C26" s="75"/>
      <c r="D26" s="75"/>
      <c r="F26" s="255" t="s">
        <v>165</v>
      </c>
      <c r="G26" s="256">
        <v>26</v>
      </c>
      <c r="J26" s="257" t="s">
        <v>13</v>
      </c>
      <c r="K26" s="258" t="s">
        <v>29</v>
      </c>
      <c r="M26" s="75"/>
      <c r="N26" s="75"/>
      <c r="O26" s="75"/>
      <c r="P26" s="75"/>
      <c r="Q26" s="75"/>
      <c r="R26" s="75"/>
      <c r="S26" s="75"/>
      <c r="T26" s="75"/>
      <c r="AK26" s="75"/>
      <c r="AN26" s="75"/>
    </row>
    <row r="27" spans="2:40" ht="15.75" x14ac:dyDescent="0.25">
      <c r="B27" s="270"/>
      <c r="F27" s="272" t="s">
        <v>182</v>
      </c>
      <c r="G27" s="251">
        <v>27</v>
      </c>
      <c r="J27" s="257" t="s">
        <v>13</v>
      </c>
      <c r="K27" s="258" t="s">
        <v>27</v>
      </c>
      <c r="M27" s="249" t="s">
        <v>1255</v>
      </c>
      <c r="R27" s="248"/>
    </row>
    <row r="28" spans="2:40" ht="15.75" x14ac:dyDescent="0.25">
      <c r="B28" s="270"/>
      <c r="F28" s="255" t="s">
        <v>49</v>
      </c>
      <c r="G28" s="256">
        <v>28</v>
      </c>
      <c r="J28" s="257" t="s">
        <v>13</v>
      </c>
      <c r="K28" s="258" t="s">
        <v>28</v>
      </c>
      <c r="M28" s="254" t="s">
        <v>1269</v>
      </c>
      <c r="R28" s="253"/>
    </row>
    <row r="29" spans="2:40" ht="15.75" customHeight="1" x14ac:dyDescent="0.25">
      <c r="F29" s="250" t="s">
        <v>185</v>
      </c>
      <c r="G29" s="251">
        <v>29</v>
      </c>
      <c r="J29" s="257" t="s">
        <v>13</v>
      </c>
      <c r="K29" s="258" t="s">
        <v>30</v>
      </c>
      <c r="M29" s="75" t="s">
        <v>1253</v>
      </c>
      <c r="R29" s="260"/>
    </row>
    <row r="30" spans="2:40" ht="24" x14ac:dyDescent="0.25">
      <c r="B30" s="1521" t="s">
        <v>1527</v>
      </c>
      <c r="C30" s="1521"/>
      <c r="D30" s="1521"/>
      <c r="F30" s="255" t="s">
        <v>188</v>
      </c>
      <c r="G30" s="256">
        <v>30</v>
      </c>
      <c r="J30" s="257" t="s">
        <v>13</v>
      </c>
      <c r="K30" s="258" t="s">
        <v>31</v>
      </c>
      <c r="M30" s="75" t="s">
        <v>1254</v>
      </c>
      <c r="R30" s="260"/>
    </row>
    <row r="31" spans="2:40" ht="15.75" x14ac:dyDescent="0.25">
      <c r="B31" s="95" t="s">
        <v>519</v>
      </c>
      <c r="C31" s="239" t="b">
        <v>1</v>
      </c>
      <c r="D31" s="95">
        <f t="shared" ref="D31:D48" si="0">IF(C31=TRUE,1,0)</f>
        <v>1</v>
      </c>
      <c r="F31" s="250" t="s">
        <v>190</v>
      </c>
      <c r="G31" s="251">
        <v>31</v>
      </c>
      <c r="J31" s="257" t="s">
        <v>13</v>
      </c>
      <c r="K31" s="258" t="s">
        <v>32</v>
      </c>
      <c r="N31" s="101" t="s">
        <v>864</v>
      </c>
      <c r="R31" s="259"/>
    </row>
    <row r="32" spans="2:40" ht="15.75" x14ac:dyDescent="0.25">
      <c r="B32" s="95" t="s">
        <v>521</v>
      </c>
      <c r="C32" s="239" t="b">
        <v>0</v>
      </c>
      <c r="D32" s="95">
        <f t="shared" si="0"/>
        <v>0</v>
      </c>
      <c r="F32" s="255" t="s">
        <v>617</v>
      </c>
      <c r="G32" s="256">
        <v>32</v>
      </c>
      <c r="J32" s="257" t="s">
        <v>13</v>
      </c>
      <c r="K32" s="258" t="s">
        <v>33</v>
      </c>
      <c r="N32" s="254" t="s">
        <v>1271</v>
      </c>
      <c r="R32" s="260"/>
    </row>
    <row r="33" spans="2:25" ht="15.75" x14ac:dyDescent="0.25">
      <c r="B33" s="95" t="s">
        <v>518</v>
      </c>
      <c r="C33" s="239" t="b">
        <v>1</v>
      </c>
      <c r="D33" s="95">
        <f t="shared" si="0"/>
        <v>1</v>
      </c>
      <c r="F33" s="250" t="s">
        <v>52</v>
      </c>
      <c r="G33" s="251">
        <v>33</v>
      </c>
      <c r="J33" s="257" t="s">
        <v>13</v>
      </c>
      <c r="K33" s="258" t="s">
        <v>19</v>
      </c>
      <c r="N33" s="75" t="s">
        <v>1258</v>
      </c>
      <c r="R33" s="259"/>
    </row>
    <row r="34" spans="2:25" ht="15.75" x14ac:dyDescent="0.25">
      <c r="B34" s="95" t="s">
        <v>520</v>
      </c>
      <c r="C34" s="239" t="b">
        <v>0</v>
      </c>
      <c r="D34" s="95">
        <f t="shared" si="0"/>
        <v>0</v>
      </c>
      <c r="F34" s="255" t="s">
        <v>202</v>
      </c>
      <c r="G34" s="256">
        <v>34</v>
      </c>
      <c r="J34" s="257" t="s">
        <v>13</v>
      </c>
      <c r="K34" s="258" t="s">
        <v>26</v>
      </c>
      <c r="N34" s="75" t="s">
        <v>1259</v>
      </c>
    </row>
    <row r="35" spans="2:25" ht="15.75" x14ac:dyDescent="0.25">
      <c r="B35" s="98" t="s">
        <v>1389</v>
      </c>
      <c r="C35" s="273" t="b">
        <v>1</v>
      </c>
      <c r="D35" s="98">
        <f t="shared" si="0"/>
        <v>1</v>
      </c>
      <c r="F35" s="250" t="s">
        <v>618</v>
      </c>
      <c r="G35" s="251">
        <v>35</v>
      </c>
      <c r="J35" s="257" t="s">
        <v>13</v>
      </c>
      <c r="K35" s="258" t="s">
        <v>21</v>
      </c>
      <c r="N35" s="75" t="s">
        <v>1260</v>
      </c>
      <c r="R35" s="248"/>
    </row>
    <row r="36" spans="2:25" ht="15.75" x14ac:dyDescent="0.25">
      <c r="B36" s="98" t="s">
        <v>1390</v>
      </c>
      <c r="C36" s="273" t="b">
        <v>1</v>
      </c>
      <c r="D36" s="98">
        <f t="shared" si="0"/>
        <v>1</v>
      </c>
      <c r="F36" s="255" t="s">
        <v>67</v>
      </c>
      <c r="G36" s="256">
        <v>36</v>
      </c>
      <c r="J36" s="257" t="s">
        <v>36</v>
      </c>
      <c r="K36" s="258" t="s">
        <v>37</v>
      </c>
      <c r="N36" s="75" t="s">
        <v>1264</v>
      </c>
      <c r="R36" s="253"/>
    </row>
    <row r="37" spans="2:25" ht="15.75" x14ac:dyDescent="0.25">
      <c r="B37" s="98" t="s">
        <v>1391</v>
      </c>
      <c r="C37" s="273" t="b">
        <v>1</v>
      </c>
      <c r="D37" s="98">
        <f t="shared" si="0"/>
        <v>1</v>
      </c>
      <c r="F37" s="250" t="s">
        <v>226</v>
      </c>
      <c r="G37" s="251">
        <v>37</v>
      </c>
      <c r="J37" s="257" t="s">
        <v>36</v>
      </c>
      <c r="K37" s="258" t="s">
        <v>38</v>
      </c>
      <c r="N37" s="75" t="s">
        <v>1265</v>
      </c>
      <c r="R37" s="260"/>
    </row>
    <row r="38" spans="2:25" ht="15.75" x14ac:dyDescent="0.25">
      <c r="B38" s="98" t="s">
        <v>1393</v>
      </c>
      <c r="C38" s="273" t="b">
        <v>1</v>
      </c>
      <c r="D38" s="98">
        <f t="shared" si="0"/>
        <v>1</v>
      </c>
      <c r="F38" s="255" t="s">
        <v>229</v>
      </c>
      <c r="G38" s="256">
        <v>38</v>
      </c>
      <c r="J38" s="257" t="s">
        <v>36</v>
      </c>
      <c r="K38" s="258" t="s">
        <v>39</v>
      </c>
      <c r="N38" s="75" t="s">
        <v>1261</v>
      </c>
      <c r="R38" s="260"/>
    </row>
    <row r="39" spans="2:25" ht="15.75" x14ac:dyDescent="0.25">
      <c r="B39" s="98" t="s">
        <v>1394</v>
      </c>
      <c r="C39" s="273" t="b">
        <v>1</v>
      </c>
      <c r="D39" s="98">
        <f t="shared" si="0"/>
        <v>1</v>
      </c>
      <c r="F39" s="250" t="s">
        <v>238</v>
      </c>
      <c r="G39" s="251">
        <v>39</v>
      </c>
      <c r="J39" s="257" t="s">
        <v>36</v>
      </c>
      <c r="K39" s="258" t="s">
        <v>41</v>
      </c>
      <c r="N39" s="75" t="s">
        <v>1262</v>
      </c>
      <c r="R39" s="259"/>
    </row>
    <row r="40" spans="2:25" ht="15.75" x14ac:dyDescent="0.25">
      <c r="B40" s="98" t="s">
        <v>1495</v>
      </c>
      <c r="C40" s="273" t="b">
        <v>0</v>
      </c>
      <c r="D40" s="98">
        <f t="shared" si="0"/>
        <v>0</v>
      </c>
      <c r="F40" s="255" t="s">
        <v>242</v>
      </c>
      <c r="G40" s="256">
        <v>40</v>
      </c>
      <c r="J40" s="257" t="s">
        <v>36</v>
      </c>
      <c r="K40" s="258" t="s">
        <v>40</v>
      </c>
      <c r="N40" s="75" t="s">
        <v>1263</v>
      </c>
      <c r="R40" s="260"/>
    </row>
    <row r="41" spans="2:25" ht="15.75" x14ac:dyDescent="0.25">
      <c r="B41" s="98" t="s">
        <v>1517</v>
      </c>
      <c r="C41" s="273" t="b">
        <v>0</v>
      </c>
      <c r="D41" s="98">
        <f t="shared" si="0"/>
        <v>0</v>
      </c>
      <c r="F41" s="250" t="s">
        <v>246</v>
      </c>
      <c r="G41" s="251">
        <v>41</v>
      </c>
      <c r="J41" s="257" t="s">
        <v>36</v>
      </c>
      <c r="K41" s="258" t="s">
        <v>42</v>
      </c>
      <c r="R41" s="259"/>
    </row>
    <row r="42" spans="2:25" ht="15.75" x14ac:dyDescent="0.25">
      <c r="B42" s="98" t="s">
        <v>1518</v>
      </c>
      <c r="C42" s="273" t="b">
        <v>0</v>
      </c>
      <c r="D42" s="98">
        <f t="shared" si="0"/>
        <v>0</v>
      </c>
      <c r="F42" s="255" t="s">
        <v>248</v>
      </c>
      <c r="G42" s="256">
        <v>42</v>
      </c>
      <c r="J42" s="257" t="s">
        <v>36</v>
      </c>
      <c r="K42" s="258" t="s">
        <v>43</v>
      </c>
    </row>
    <row r="43" spans="2:25" ht="15.75" x14ac:dyDescent="0.25">
      <c r="B43" s="98" t="s">
        <v>1519</v>
      </c>
      <c r="C43" s="273" t="b">
        <v>0</v>
      </c>
      <c r="D43" s="98">
        <f t="shared" si="0"/>
        <v>0</v>
      </c>
      <c r="F43" s="250" t="s">
        <v>619</v>
      </c>
      <c r="G43" s="251">
        <v>43</v>
      </c>
      <c r="J43" s="275" t="s">
        <v>44</v>
      </c>
      <c r="K43" s="267" t="s">
        <v>45</v>
      </c>
      <c r="N43" s="75" t="s">
        <v>801</v>
      </c>
      <c r="R43" s="248"/>
    </row>
    <row r="44" spans="2:25" ht="15.75" x14ac:dyDescent="0.25">
      <c r="B44" s="274" t="s">
        <v>1532</v>
      </c>
      <c r="C44" s="211" t="b">
        <v>0</v>
      </c>
      <c r="D44" s="98">
        <f t="shared" si="0"/>
        <v>0</v>
      </c>
      <c r="F44" s="255" t="s">
        <v>254</v>
      </c>
      <c r="G44" s="256">
        <v>44</v>
      </c>
      <c r="J44" s="275" t="s">
        <v>44</v>
      </c>
      <c r="K44" s="258" t="s">
        <v>46</v>
      </c>
      <c r="N44" s="254" t="s">
        <v>1270</v>
      </c>
      <c r="R44" s="253"/>
    </row>
    <row r="45" spans="2:25" ht="15.75" x14ac:dyDescent="0.25">
      <c r="B45" s="274" t="s">
        <v>1533</v>
      </c>
      <c r="C45" s="211" t="b">
        <v>0</v>
      </c>
      <c r="D45" s="276">
        <f t="shared" si="0"/>
        <v>0</v>
      </c>
      <c r="F45" s="250" t="s">
        <v>265</v>
      </c>
      <c r="G45" s="251">
        <v>45</v>
      </c>
      <c r="J45" s="275" t="s">
        <v>47</v>
      </c>
      <c r="K45" s="258" t="s">
        <v>48</v>
      </c>
      <c r="N45" s="277" t="s">
        <v>1266</v>
      </c>
      <c r="R45" s="259"/>
    </row>
    <row r="46" spans="2:25" ht="15.75" x14ac:dyDescent="0.25">
      <c r="B46" s="95" t="s">
        <v>1540</v>
      </c>
      <c r="C46" s="239" t="b">
        <v>0</v>
      </c>
      <c r="D46" s="276">
        <f t="shared" si="0"/>
        <v>0</v>
      </c>
      <c r="F46" s="255" t="s">
        <v>267</v>
      </c>
      <c r="G46" s="256">
        <v>46</v>
      </c>
      <c r="J46" s="275" t="s">
        <v>50</v>
      </c>
      <c r="K46" s="258" t="s">
        <v>51</v>
      </c>
      <c r="N46" s="277" t="s">
        <v>1267</v>
      </c>
    </row>
    <row r="47" spans="2:25" ht="15.75" x14ac:dyDescent="0.25">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75" x14ac:dyDescent="0.25">
      <c r="B48" s="95" t="s">
        <v>1596</v>
      </c>
      <c r="C48" s="239" t="b">
        <v>0</v>
      </c>
      <c r="D48" s="276">
        <f t="shared" si="0"/>
        <v>0</v>
      </c>
      <c r="F48" s="255" t="s">
        <v>269</v>
      </c>
      <c r="G48" s="256">
        <v>48</v>
      </c>
      <c r="J48" s="275" t="s">
        <v>409</v>
      </c>
      <c r="K48" s="258" t="s">
        <v>410</v>
      </c>
      <c r="Y48" s="254" t="s">
        <v>461</v>
      </c>
    </row>
    <row r="49" spans="2:25" ht="15.75" x14ac:dyDescent="0.25">
      <c r="B49" s="95" t="s">
        <v>1535</v>
      </c>
      <c r="C49" s="161">
        <f>IF(OR('Ввод исходных данных'!E288&lt;&gt;"Ошибок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1908</v>
      </c>
    </row>
    <row r="50" spans="2:25" ht="15.75" x14ac:dyDescent="0.25">
      <c r="B50" s="95" t="s">
        <v>1536</v>
      </c>
      <c r="C50" s="161">
        <f>IF(OR(SUM('Список мероприятий'!Z6:Z77)&gt;0),1,0)</f>
        <v>0</v>
      </c>
      <c r="D50" s="95" t="s">
        <v>1915</v>
      </c>
      <c r="F50" s="255" t="s">
        <v>2</v>
      </c>
      <c r="G50" s="256">
        <v>50</v>
      </c>
      <c r="J50" s="275" t="s">
        <v>293</v>
      </c>
      <c r="K50" s="258" t="s">
        <v>413</v>
      </c>
      <c r="N50" s="254"/>
      <c r="Y50" s="75" t="s">
        <v>1909</v>
      </c>
    </row>
    <row r="51" spans="2:25" ht="15.75" x14ac:dyDescent="0.25">
      <c r="B51" s="95" t="s">
        <v>1537</v>
      </c>
      <c r="C51" s="161">
        <f>IF(OR(C49&gt;0,C50&gt;0,C52&gt;0),1,0)</f>
        <v>0</v>
      </c>
      <c r="D51" s="95"/>
      <c r="F51" s="250" t="s">
        <v>68</v>
      </c>
      <c r="G51" s="251">
        <v>51</v>
      </c>
      <c r="J51" s="275" t="s">
        <v>293</v>
      </c>
      <c r="K51" s="267" t="s">
        <v>414</v>
      </c>
      <c r="Y51" s="75" t="s">
        <v>1910</v>
      </c>
    </row>
    <row r="52" spans="2:25" ht="15.75" x14ac:dyDescent="0.25">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75" x14ac:dyDescent="0.25">
      <c r="B53" s="75" t="s">
        <v>1911</v>
      </c>
      <c r="C53" s="75">
        <f>IF(AND(C49=0,C52=0),1,0)</f>
        <v>1</v>
      </c>
      <c r="F53" s="250" t="s">
        <v>458</v>
      </c>
      <c r="G53" s="251">
        <v>53</v>
      </c>
      <c r="J53" s="275" t="s">
        <v>293</v>
      </c>
      <c r="K53" s="258" t="s">
        <v>416</v>
      </c>
    </row>
    <row r="54" spans="2:25" ht="17.25" x14ac:dyDescent="0.25">
      <c r="F54" s="255" t="s">
        <v>329</v>
      </c>
      <c r="G54" s="256">
        <v>54</v>
      </c>
      <c r="J54" s="275" t="s">
        <v>293</v>
      </c>
      <c r="K54" s="267" t="s">
        <v>412</v>
      </c>
      <c r="Y54" s="75" t="s">
        <v>1913</v>
      </c>
    </row>
    <row r="55" spans="2:25" ht="17.25" x14ac:dyDescent="0.25">
      <c r="F55" s="250" t="s">
        <v>145</v>
      </c>
      <c r="G55" s="251">
        <v>55</v>
      </c>
      <c r="J55" s="275" t="s">
        <v>419</v>
      </c>
      <c r="K55" s="258" t="s">
        <v>418</v>
      </c>
      <c r="Y55" s="75" t="s">
        <v>1914</v>
      </c>
    </row>
    <row r="56" spans="2:25" ht="15.75" x14ac:dyDescent="0.25">
      <c r="F56" s="255" t="s">
        <v>197</v>
      </c>
      <c r="G56" s="256">
        <v>56</v>
      </c>
      <c r="J56" s="275" t="s">
        <v>419</v>
      </c>
      <c r="K56" s="258" t="s">
        <v>421</v>
      </c>
    </row>
    <row r="57" spans="2:25" ht="15.75" x14ac:dyDescent="0.25">
      <c r="F57" s="250" t="s">
        <v>288</v>
      </c>
      <c r="G57" s="251">
        <v>57</v>
      </c>
      <c r="J57" s="275" t="s">
        <v>419</v>
      </c>
      <c r="K57" s="258" t="s">
        <v>635</v>
      </c>
    </row>
    <row r="58" spans="2:25" ht="15.75" x14ac:dyDescent="0.25">
      <c r="F58" s="255" t="s">
        <v>336</v>
      </c>
      <c r="G58" s="256">
        <v>58</v>
      </c>
      <c r="J58" s="275" t="s">
        <v>419</v>
      </c>
      <c r="K58" s="258" t="s">
        <v>636</v>
      </c>
    </row>
    <row r="59" spans="2:25" ht="15.75" x14ac:dyDescent="0.25">
      <c r="F59" s="250" t="s">
        <v>621</v>
      </c>
      <c r="G59" s="251">
        <v>59</v>
      </c>
      <c r="J59" s="275" t="s">
        <v>419</v>
      </c>
      <c r="K59" s="258" t="s">
        <v>420</v>
      </c>
    </row>
    <row r="60" spans="2:25" ht="15.75" x14ac:dyDescent="0.25">
      <c r="F60" s="255" t="s">
        <v>381</v>
      </c>
      <c r="G60" s="256">
        <v>60</v>
      </c>
      <c r="J60" s="275" t="s">
        <v>422</v>
      </c>
      <c r="K60" s="267" t="s">
        <v>423</v>
      </c>
    </row>
    <row r="61" spans="2:25" ht="15.75" x14ac:dyDescent="0.25">
      <c r="F61" s="250" t="s">
        <v>622</v>
      </c>
      <c r="G61" s="251">
        <v>61</v>
      </c>
      <c r="J61" s="275" t="s">
        <v>95</v>
      </c>
      <c r="K61" s="258" t="s">
        <v>96</v>
      </c>
    </row>
    <row r="62" spans="2:25" ht="15.75" x14ac:dyDescent="0.25">
      <c r="F62" s="255" t="s">
        <v>623</v>
      </c>
      <c r="G62" s="256">
        <v>62</v>
      </c>
      <c r="J62" s="275" t="s">
        <v>95</v>
      </c>
      <c r="K62" s="267" t="s">
        <v>97</v>
      </c>
    </row>
    <row r="63" spans="2:25" ht="15.75" x14ac:dyDescent="0.25">
      <c r="F63" s="250" t="s">
        <v>291</v>
      </c>
      <c r="G63" s="251">
        <v>63</v>
      </c>
      <c r="J63" s="275" t="s">
        <v>255</v>
      </c>
      <c r="K63" s="258" t="s">
        <v>429</v>
      </c>
    </row>
    <row r="64" spans="2:25" ht="15.75" x14ac:dyDescent="0.25">
      <c r="F64" s="255" t="s">
        <v>294</v>
      </c>
      <c r="G64" s="256">
        <v>64</v>
      </c>
      <c r="J64" s="275" t="s">
        <v>255</v>
      </c>
      <c r="K64" s="267" t="s">
        <v>430</v>
      </c>
    </row>
    <row r="65" spans="6:11" ht="15.75" x14ac:dyDescent="0.25">
      <c r="F65" s="250" t="s">
        <v>307</v>
      </c>
      <c r="G65" s="251">
        <v>65</v>
      </c>
      <c r="J65" s="275" t="s">
        <v>255</v>
      </c>
      <c r="K65" s="258" t="s">
        <v>637</v>
      </c>
    </row>
    <row r="66" spans="6:11" ht="15.75" x14ac:dyDescent="0.25">
      <c r="F66" s="255" t="s">
        <v>624</v>
      </c>
      <c r="G66" s="256">
        <v>66</v>
      </c>
      <c r="J66" s="275" t="s">
        <v>255</v>
      </c>
      <c r="K66" s="258" t="s">
        <v>431</v>
      </c>
    </row>
    <row r="67" spans="6:11" ht="15.75" x14ac:dyDescent="0.25">
      <c r="F67" s="250" t="s">
        <v>249</v>
      </c>
      <c r="G67" s="251">
        <v>67</v>
      </c>
      <c r="J67" s="275" t="s">
        <v>255</v>
      </c>
      <c r="K67" s="258" t="s">
        <v>434</v>
      </c>
    </row>
    <row r="68" spans="6:11" ht="15.75" x14ac:dyDescent="0.25">
      <c r="F68" s="255" t="s">
        <v>296</v>
      </c>
      <c r="G68" s="256">
        <v>68</v>
      </c>
      <c r="J68" s="275" t="s">
        <v>255</v>
      </c>
      <c r="K68" s="258" t="s">
        <v>435</v>
      </c>
    </row>
    <row r="69" spans="6:11" ht="15.75" x14ac:dyDescent="0.25">
      <c r="F69" s="250" t="s">
        <v>320</v>
      </c>
      <c r="G69" s="251">
        <v>69</v>
      </c>
      <c r="J69" s="275" t="s">
        <v>255</v>
      </c>
      <c r="K69" s="258" t="s">
        <v>436</v>
      </c>
    </row>
    <row r="70" spans="6:11" ht="15.75" x14ac:dyDescent="0.25">
      <c r="F70" s="255" t="s">
        <v>312</v>
      </c>
      <c r="G70" s="256">
        <v>70</v>
      </c>
      <c r="J70" s="275" t="s">
        <v>255</v>
      </c>
      <c r="K70" s="258" t="s">
        <v>437</v>
      </c>
    </row>
    <row r="71" spans="6:11" ht="15.75" x14ac:dyDescent="0.25">
      <c r="F71" s="250" t="s">
        <v>314</v>
      </c>
      <c r="G71" s="251">
        <v>71</v>
      </c>
      <c r="J71" s="275" t="s">
        <v>255</v>
      </c>
      <c r="K71" s="258" t="s">
        <v>438</v>
      </c>
    </row>
    <row r="72" spans="6:11" ht="15.75" x14ac:dyDescent="0.25">
      <c r="F72" s="255" t="s">
        <v>326</v>
      </c>
      <c r="G72" s="256">
        <v>72</v>
      </c>
      <c r="J72" s="275" t="s">
        <v>255</v>
      </c>
      <c r="K72" s="258" t="s">
        <v>638</v>
      </c>
    </row>
    <row r="73" spans="6:11" ht="15.75" x14ac:dyDescent="0.25">
      <c r="F73" s="250" t="s">
        <v>392</v>
      </c>
      <c r="G73" s="251">
        <v>73</v>
      </c>
      <c r="J73" s="275" t="s">
        <v>255</v>
      </c>
      <c r="K73" s="258" t="s">
        <v>439</v>
      </c>
    </row>
    <row r="74" spans="6:11" ht="15.75" x14ac:dyDescent="0.25">
      <c r="F74" s="255" t="s">
        <v>55</v>
      </c>
      <c r="G74" s="256">
        <v>74</v>
      </c>
      <c r="J74" s="275" t="s">
        <v>255</v>
      </c>
      <c r="K74" s="258" t="s">
        <v>440</v>
      </c>
    </row>
    <row r="75" spans="6:11" ht="15.75" x14ac:dyDescent="0.25">
      <c r="F75" s="250" t="s">
        <v>389</v>
      </c>
      <c r="G75" s="251">
        <v>75</v>
      </c>
      <c r="J75" s="275" t="s">
        <v>255</v>
      </c>
      <c r="K75" s="267" t="s">
        <v>441</v>
      </c>
    </row>
    <row r="76" spans="6:11" ht="15.75" x14ac:dyDescent="0.25">
      <c r="F76" s="255" t="s">
        <v>396</v>
      </c>
      <c r="G76" s="256">
        <v>76</v>
      </c>
      <c r="J76" s="275" t="s">
        <v>255</v>
      </c>
      <c r="K76" s="258" t="s">
        <v>432</v>
      </c>
    </row>
    <row r="77" spans="6:11" ht="15.75" x14ac:dyDescent="0.25">
      <c r="F77" s="279" t="s">
        <v>625</v>
      </c>
      <c r="G77" s="251">
        <v>77</v>
      </c>
      <c r="J77" s="275" t="s">
        <v>255</v>
      </c>
      <c r="K77" s="258" t="s">
        <v>433</v>
      </c>
    </row>
    <row r="78" spans="6:11" ht="15.75" x14ac:dyDescent="0.25">
      <c r="F78" s="255" t="s">
        <v>406</v>
      </c>
      <c r="G78" s="256">
        <v>78</v>
      </c>
      <c r="J78" s="275" t="s">
        <v>91</v>
      </c>
      <c r="K78" s="267" t="s">
        <v>92</v>
      </c>
    </row>
    <row r="79" spans="6:11" ht="15.75" x14ac:dyDescent="0.25">
      <c r="F79" s="250" t="s">
        <v>121</v>
      </c>
      <c r="G79" s="251">
        <v>79</v>
      </c>
      <c r="J79" s="275" t="s">
        <v>91</v>
      </c>
      <c r="K79" s="258" t="s">
        <v>93</v>
      </c>
    </row>
    <row r="80" spans="6:11" ht="15.75" x14ac:dyDescent="0.25">
      <c r="F80" s="255" t="s">
        <v>626</v>
      </c>
      <c r="G80" s="256">
        <v>80</v>
      </c>
      <c r="J80" s="275" t="s">
        <v>71</v>
      </c>
      <c r="K80" s="258" t="s">
        <v>72</v>
      </c>
    </row>
    <row r="81" spans="6:11" ht="15.75" x14ac:dyDescent="0.25">
      <c r="F81" s="250" t="s">
        <v>53</v>
      </c>
      <c r="G81" s="251">
        <v>81</v>
      </c>
      <c r="J81" s="275" t="s">
        <v>71</v>
      </c>
      <c r="K81" s="258" t="s">
        <v>73</v>
      </c>
    </row>
    <row r="82" spans="6:11" ht="15.75" x14ac:dyDescent="0.25">
      <c r="F82" s="255" t="s">
        <v>627</v>
      </c>
      <c r="G82" s="256">
        <v>82</v>
      </c>
      <c r="J82" s="275" t="s">
        <v>71</v>
      </c>
      <c r="K82" s="258" t="s">
        <v>74</v>
      </c>
    </row>
    <row r="83" spans="6:11" ht="15.75" x14ac:dyDescent="0.25">
      <c r="F83" s="250" t="s">
        <v>628</v>
      </c>
      <c r="G83" s="251">
        <v>83</v>
      </c>
      <c r="J83" s="275" t="s">
        <v>71</v>
      </c>
      <c r="K83" s="258" t="s">
        <v>88</v>
      </c>
    </row>
    <row r="84" spans="6:11" ht="15.75" x14ac:dyDescent="0.25">
      <c r="F84" s="255" t="s">
        <v>58</v>
      </c>
      <c r="G84" s="256">
        <v>84</v>
      </c>
      <c r="J84" s="275" t="s">
        <v>71</v>
      </c>
      <c r="K84" s="258" t="s">
        <v>639</v>
      </c>
    </row>
    <row r="85" spans="6:11" ht="15.75" x14ac:dyDescent="0.25">
      <c r="F85" s="250" t="s">
        <v>629</v>
      </c>
      <c r="G85" s="251">
        <v>85</v>
      </c>
      <c r="J85" s="275" t="s">
        <v>71</v>
      </c>
      <c r="K85" s="267" t="s">
        <v>89</v>
      </c>
    </row>
    <row r="86" spans="6:11" ht="15.75" x14ac:dyDescent="0.25">
      <c r="F86" s="75" t="s">
        <v>427</v>
      </c>
      <c r="G86" s="256">
        <v>86</v>
      </c>
      <c r="J86" s="275" t="s">
        <v>71</v>
      </c>
      <c r="K86" s="258" t="s">
        <v>90</v>
      </c>
    </row>
    <row r="87" spans="6:11" ht="15.75" x14ac:dyDescent="0.25">
      <c r="F87" s="75" t="s">
        <v>630</v>
      </c>
      <c r="G87" s="251">
        <v>87</v>
      </c>
      <c r="J87" s="275" t="s">
        <v>71</v>
      </c>
      <c r="K87" s="258" t="s">
        <v>640</v>
      </c>
    </row>
    <row r="88" spans="6:11" ht="15.75" x14ac:dyDescent="0.25">
      <c r="F88" s="75" t="s">
        <v>631</v>
      </c>
      <c r="G88" s="256">
        <v>88</v>
      </c>
      <c r="J88" s="275" t="s">
        <v>71</v>
      </c>
      <c r="K88" s="258" t="s">
        <v>76</v>
      </c>
    </row>
    <row r="89" spans="6:11" ht="15.75" x14ac:dyDescent="0.25">
      <c r="J89" s="275" t="s">
        <v>71</v>
      </c>
      <c r="K89" s="258" t="s">
        <v>641</v>
      </c>
    </row>
    <row r="90" spans="6:11" ht="15.75" x14ac:dyDescent="0.25">
      <c r="J90" s="275" t="s">
        <v>71</v>
      </c>
      <c r="K90" s="258" t="s">
        <v>77</v>
      </c>
    </row>
    <row r="91" spans="6:11" ht="15.75" x14ac:dyDescent="0.25">
      <c r="J91" s="275" t="s">
        <v>71</v>
      </c>
      <c r="K91" s="267" t="s">
        <v>75</v>
      </c>
    </row>
    <row r="92" spans="6:11" ht="15.75" x14ac:dyDescent="0.25">
      <c r="J92" s="275" t="s">
        <v>71</v>
      </c>
      <c r="K92" s="258" t="s">
        <v>78</v>
      </c>
    </row>
    <row r="93" spans="6:11" ht="15.75" x14ac:dyDescent="0.25">
      <c r="J93" s="275" t="s">
        <v>71</v>
      </c>
      <c r="K93" s="267" t="s">
        <v>79</v>
      </c>
    </row>
    <row r="94" spans="6:11" ht="15.75" x14ac:dyDescent="0.25">
      <c r="J94" s="275" t="s">
        <v>71</v>
      </c>
      <c r="K94" s="258" t="s">
        <v>62</v>
      </c>
    </row>
    <row r="95" spans="6:11" ht="15.75" x14ac:dyDescent="0.25">
      <c r="J95" s="275" t="s">
        <v>71</v>
      </c>
      <c r="K95" s="258" t="s">
        <v>642</v>
      </c>
    </row>
    <row r="96" spans="6:11" ht="15.75" x14ac:dyDescent="0.25">
      <c r="J96" s="275" t="s">
        <v>71</v>
      </c>
      <c r="K96" s="267" t="s">
        <v>81</v>
      </c>
    </row>
    <row r="97" spans="10:11" ht="15.75" x14ac:dyDescent="0.25">
      <c r="J97" s="275" t="s">
        <v>71</v>
      </c>
      <c r="K97" s="258" t="s">
        <v>80</v>
      </c>
    </row>
    <row r="98" spans="10:11" ht="15.75" x14ac:dyDescent="0.25">
      <c r="J98" s="275" t="s">
        <v>71</v>
      </c>
      <c r="K98" s="258" t="s">
        <v>82</v>
      </c>
    </row>
    <row r="99" spans="10:11" ht="15.75" x14ac:dyDescent="0.25">
      <c r="J99" s="275" t="s">
        <v>71</v>
      </c>
      <c r="K99" s="258" t="s">
        <v>83</v>
      </c>
    </row>
    <row r="100" spans="10:11" ht="15.75" x14ac:dyDescent="0.25">
      <c r="J100" s="275" t="s">
        <v>71</v>
      </c>
      <c r="K100" s="267" t="s">
        <v>84</v>
      </c>
    </row>
    <row r="101" spans="10:11" ht="15.75" x14ac:dyDescent="0.25">
      <c r="J101" s="275" t="s">
        <v>71</v>
      </c>
      <c r="K101" s="258" t="s">
        <v>643</v>
      </c>
    </row>
    <row r="102" spans="10:11" ht="15.75" x14ac:dyDescent="0.25">
      <c r="J102" s="275" t="s">
        <v>71</v>
      </c>
      <c r="K102" s="258" t="s">
        <v>85</v>
      </c>
    </row>
    <row r="103" spans="10:11" ht="15.75" x14ac:dyDescent="0.25">
      <c r="J103" s="275" t="s">
        <v>71</v>
      </c>
      <c r="K103" s="258" t="s">
        <v>86</v>
      </c>
    </row>
    <row r="104" spans="10:11" ht="15.75" x14ac:dyDescent="0.25">
      <c r="J104" s="275" t="s">
        <v>71</v>
      </c>
      <c r="K104" s="258" t="s">
        <v>87</v>
      </c>
    </row>
    <row r="105" spans="10:11" ht="15.75" x14ac:dyDescent="0.25">
      <c r="J105" s="275" t="s">
        <v>71</v>
      </c>
      <c r="K105" s="267" t="s">
        <v>644</v>
      </c>
    </row>
    <row r="106" spans="10:11" ht="15.75" x14ac:dyDescent="0.25">
      <c r="J106" s="275" t="s">
        <v>614</v>
      </c>
      <c r="K106" s="258" t="s">
        <v>99</v>
      </c>
    </row>
    <row r="107" spans="10:11" ht="15.75" x14ac:dyDescent="0.25">
      <c r="J107" s="275" t="s">
        <v>100</v>
      </c>
      <c r="K107" s="258" t="s">
        <v>101</v>
      </c>
    </row>
    <row r="108" spans="10:11" ht="15.75" x14ac:dyDescent="0.25">
      <c r="J108" s="275" t="s">
        <v>102</v>
      </c>
      <c r="K108" s="258" t="s">
        <v>103</v>
      </c>
    </row>
    <row r="109" spans="10:11" ht="15.75" x14ac:dyDescent="0.25">
      <c r="J109" s="275" t="s">
        <v>615</v>
      </c>
      <c r="K109" s="258" t="s">
        <v>645</v>
      </c>
    </row>
    <row r="110" spans="10:11" ht="15.75" x14ac:dyDescent="0.25">
      <c r="J110" s="275" t="s">
        <v>615</v>
      </c>
      <c r="K110" s="258" t="s">
        <v>646</v>
      </c>
    </row>
    <row r="111" spans="10:11" ht="15.75" x14ac:dyDescent="0.25">
      <c r="J111" s="275" t="s">
        <v>615</v>
      </c>
      <c r="K111" s="258" t="s">
        <v>104</v>
      </c>
    </row>
    <row r="112" spans="10:11" ht="15.75" x14ac:dyDescent="0.25">
      <c r="J112" s="275" t="s">
        <v>615</v>
      </c>
      <c r="K112" s="258" t="s">
        <v>105</v>
      </c>
    </row>
    <row r="113" spans="10:11" ht="15.75" x14ac:dyDescent="0.25">
      <c r="J113" s="275" t="s">
        <v>615</v>
      </c>
      <c r="K113" s="258" t="s">
        <v>647</v>
      </c>
    </row>
    <row r="114" spans="10:11" ht="15.75" x14ac:dyDescent="0.25">
      <c r="J114" s="275" t="s">
        <v>615</v>
      </c>
      <c r="K114" s="258" t="s">
        <v>106</v>
      </c>
    </row>
    <row r="115" spans="10:11" ht="15.75" x14ac:dyDescent="0.25">
      <c r="J115" s="275" t="s">
        <v>615</v>
      </c>
      <c r="K115" s="258" t="s">
        <v>648</v>
      </c>
    </row>
    <row r="116" spans="10:11" ht="15.75" x14ac:dyDescent="0.25">
      <c r="J116" s="275" t="s">
        <v>615</v>
      </c>
      <c r="K116" s="258" t="s">
        <v>649</v>
      </c>
    </row>
    <row r="117" spans="10:11" ht="15.75" x14ac:dyDescent="0.25">
      <c r="J117" s="275" t="s">
        <v>615</v>
      </c>
      <c r="K117" s="258" t="s">
        <v>107</v>
      </c>
    </row>
    <row r="118" spans="10:11" ht="15.75" x14ac:dyDescent="0.25">
      <c r="J118" s="275" t="s">
        <v>615</v>
      </c>
      <c r="K118" s="258" t="s">
        <v>650</v>
      </c>
    </row>
    <row r="119" spans="10:11" ht="15.75" x14ac:dyDescent="0.25">
      <c r="J119" s="275" t="s">
        <v>615</v>
      </c>
      <c r="K119" s="258" t="s">
        <v>108</v>
      </c>
    </row>
    <row r="120" spans="10:11" ht="15.75" x14ac:dyDescent="0.25">
      <c r="J120" s="275" t="s">
        <v>615</v>
      </c>
      <c r="K120" s="258" t="s">
        <v>651</v>
      </c>
    </row>
    <row r="121" spans="10:11" ht="15.75" x14ac:dyDescent="0.25">
      <c r="J121" s="275" t="s">
        <v>615</v>
      </c>
      <c r="K121" s="258" t="s">
        <v>652</v>
      </c>
    </row>
    <row r="122" spans="10:11" ht="15.75" x14ac:dyDescent="0.25">
      <c r="J122" s="275" t="s">
        <v>615</v>
      </c>
      <c r="K122" s="258" t="s">
        <v>109</v>
      </c>
    </row>
    <row r="123" spans="10:11" ht="15.75" x14ac:dyDescent="0.25">
      <c r="J123" s="275" t="s">
        <v>615</v>
      </c>
      <c r="K123" s="258" t="s">
        <v>110</v>
      </c>
    </row>
    <row r="124" spans="10:11" ht="15.75" x14ac:dyDescent="0.25">
      <c r="J124" s="275" t="s">
        <v>615</v>
      </c>
      <c r="K124" s="258" t="s">
        <v>111</v>
      </c>
    </row>
    <row r="125" spans="10:11" ht="15.75" x14ac:dyDescent="0.25">
      <c r="J125" s="275" t="s">
        <v>615</v>
      </c>
      <c r="K125" s="267" t="s">
        <v>653</v>
      </c>
    </row>
    <row r="126" spans="10:11" ht="15.75" x14ac:dyDescent="0.25">
      <c r="J126" s="275" t="s">
        <v>615</v>
      </c>
      <c r="K126" s="258" t="s">
        <v>654</v>
      </c>
    </row>
    <row r="127" spans="10:11" ht="15.75" x14ac:dyDescent="0.25">
      <c r="J127" s="275" t="s">
        <v>615</v>
      </c>
      <c r="K127" s="280" t="s">
        <v>655</v>
      </c>
    </row>
    <row r="128" spans="10:11" ht="15.75" x14ac:dyDescent="0.25">
      <c r="J128" s="275" t="s">
        <v>616</v>
      </c>
      <c r="K128" s="267" t="s">
        <v>112</v>
      </c>
    </row>
    <row r="129" spans="10:11" ht="15.75" x14ac:dyDescent="0.25">
      <c r="J129" s="275" t="s">
        <v>113</v>
      </c>
      <c r="K129" s="258" t="s">
        <v>114</v>
      </c>
    </row>
    <row r="130" spans="10:11" ht="15.75" x14ac:dyDescent="0.25">
      <c r="J130" s="275" t="s">
        <v>113</v>
      </c>
      <c r="K130" s="267" t="s">
        <v>115</v>
      </c>
    </row>
    <row r="131" spans="10:11" ht="15.75" x14ac:dyDescent="0.25">
      <c r="J131" s="275" t="s">
        <v>113</v>
      </c>
      <c r="K131" s="258" t="s">
        <v>116</v>
      </c>
    </row>
    <row r="132" spans="10:11" ht="15.75" x14ac:dyDescent="0.25">
      <c r="J132" s="275" t="s">
        <v>113</v>
      </c>
      <c r="K132" s="267" t="s">
        <v>117</v>
      </c>
    </row>
    <row r="133" spans="10:11" ht="15.75" x14ac:dyDescent="0.25">
      <c r="J133" s="275" t="s">
        <v>113</v>
      </c>
      <c r="K133" s="258" t="s">
        <v>118</v>
      </c>
    </row>
    <row r="134" spans="10:11" ht="15.75" x14ac:dyDescent="0.25">
      <c r="J134" s="275" t="s">
        <v>113</v>
      </c>
      <c r="K134" s="267" t="s">
        <v>656</v>
      </c>
    </row>
    <row r="135" spans="10:11" ht="15.75" x14ac:dyDescent="0.25">
      <c r="J135" s="275" t="s">
        <v>113</v>
      </c>
      <c r="K135" s="281" t="s">
        <v>119</v>
      </c>
    </row>
    <row r="136" spans="10:11" ht="15.75" x14ac:dyDescent="0.25">
      <c r="J136" s="275" t="s">
        <v>113</v>
      </c>
      <c r="K136" s="281" t="s">
        <v>120</v>
      </c>
    </row>
    <row r="137" spans="10:11" ht="15.75" x14ac:dyDescent="0.25">
      <c r="J137" s="275" t="s">
        <v>142</v>
      </c>
      <c r="K137" s="280" t="s">
        <v>144</v>
      </c>
    </row>
    <row r="138" spans="10:11" ht="15.75" x14ac:dyDescent="0.25">
      <c r="J138" s="275" t="s">
        <v>142</v>
      </c>
      <c r="K138" s="280" t="s">
        <v>657</v>
      </c>
    </row>
    <row r="139" spans="10:11" ht="15.75" x14ac:dyDescent="0.25">
      <c r="J139" s="275" t="s">
        <v>142</v>
      </c>
      <c r="K139" s="280" t="s">
        <v>143</v>
      </c>
    </row>
    <row r="140" spans="10:11" ht="15.75" x14ac:dyDescent="0.25">
      <c r="J140" s="275" t="s">
        <v>155</v>
      </c>
      <c r="K140" s="280" t="s">
        <v>157</v>
      </c>
    </row>
    <row r="141" spans="10:11" ht="15.75" x14ac:dyDescent="0.25">
      <c r="J141" s="275" t="s">
        <v>155</v>
      </c>
      <c r="K141" s="280" t="s">
        <v>156</v>
      </c>
    </row>
    <row r="142" spans="10:11" ht="15.75" x14ac:dyDescent="0.25">
      <c r="J142" s="275" t="s">
        <v>155</v>
      </c>
      <c r="K142" s="280" t="s">
        <v>158</v>
      </c>
    </row>
    <row r="143" spans="10:11" ht="15.75" x14ac:dyDescent="0.25">
      <c r="J143" s="275" t="s">
        <v>159</v>
      </c>
      <c r="K143" s="280" t="s">
        <v>160</v>
      </c>
    </row>
    <row r="144" spans="10:11" ht="15.75" x14ac:dyDescent="0.25">
      <c r="J144" s="275" t="s">
        <v>159</v>
      </c>
      <c r="K144" s="280" t="s">
        <v>161</v>
      </c>
    </row>
    <row r="145" spans="10:11" ht="15.75" x14ac:dyDescent="0.25">
      <c r="J145" s="275" t="s">
        <v>159</v>
      </c>
      <c r="K145" s="280" t="s">
        <v>162</v>
      </c>
    </row>
    <row r="146" spans="10:11" ht="15.75" x14ac:dyDescent="0.25">
      <c r="J146" s="275" t="s">
        <v>159</v>
      </c>
      <c r="K146" s="280" t="s">
        <v>163</v>
      </c>
    </row>
    <row r="147" spans="10:11" ht="15.75" x14ac:dyDescent="0.25">
      <c r="J147" s="275" t="s">
        <v>159</v>
      </c>
      <c r="K147" s="280" t="s">
        <v>164</v>
      </c>
    </row>
    <row r="148" spans="10:11" ht="15.75" x14ac:dyDescent="0.25">
      <c r="J148" s="275" t="s">
        <v>165</v>
      </c>
      <c r="K148" s="280" t="s">
        <v>167</v>
      </c>
    </row>
    <row r="149" spans="10:11" ht="15.75" x14ac:dyDescent="0.25">
      <c r="J149" s="275" t="s">
        <v>165</v>
      </c>
      <c r="K149" s="280" t="s">
        <v>166</v>
      </c>
    </row>
    <row r="150" spans="10:11" ht="15.75" x14ac:dyDescent="0.25">
      <c r="J150" s="275" t="s">
        <v>165</v>
      </c>
      <c r="K150" s="280" t="s">
        <v>658</v>
      </c>
    </row>
    <row r="151" spans="10:11" ht="15.75" x14ac:dyDescent="0.25">
      <c r="J151" s="275" t="s">
        <v>165</v>
      </c>
      <c r="K151" s="280" t="s">
        <v>168</v>
      </c>
    </row>
    <row r="152" spans="10:11" ht="15.75" x14ac:dyDescent="0.25">
      <c r="J152" s="275" t="s">
        <v>165</v>
      </c>
      <c r="K152" s="280" t="s">
        <v>169</v>
      </c>
    </row>
    <row r="153" spans="10:11" ht="15.75" x14ac:dyDescent="0.25">
      <c r="J153" s="275" t="s">
        <v>165</v>
      </c>
      <c r="K153" s="280" t="s">
        <v>659</v>
      </c>
    </row>
    <row r="154" spans="10:11" ht="15.75" x14ac:dyDescent="0.25">
      <c r="J154" s="275" t="s">
        <v>165</v>
      </c>
      <c r="K154" s="267" t="s">
        <v>178</v>
      </c>
    </row>
    <row r="155" spans="10:11" ht="15.75" x14ac:dyDescent="0.25">
      <c r="J155" s="275" t="s">
        <v>165</v>
      </c>
      <c r="K155" s="280" t="s">
        <v>179</v>
      </c>
    </row>
    <row r="156" spans="10:11" ht="15.75" x14ac:dyDescent="0.25">
      <c r="J156" s="275" t="s">
        <v>165</v>
      </c>
      <c r="K156" s="267" t="s">
        <v>180</v>
      </c>
    </row>
    <row r="157" spans="10:11" ht="15.75" x14ac:dyDescent="0.25">
      <c r="J157" s="275" t="s">
        <v>165</v>
      </c>
      <c r="K157" s="258" t="s">
        <v>660</v>
      </c>
    </row>
    <row r="158" spans="10:11" ht="15.75" x14ac:dyDescent="0.25">
      <c r="J158" s="275" t="s">
        <v>165</v>
      </c>
      <c r="K158" s="258" t="s">
        <v>661</v>
      </c>
    </row>
    <row r="159" spans="10:11" ht="15.75" x14ac:dyDescent="0.25">
      <c r="J159" s="275" t="s">
        <v>165</v>
      </c>
      <c r="K159" s="258" t="s">
        <v>170</v>
      </c>
    </row>
    <row r="160" spans="10:11" ht="15.75" x14ac:dyDescent="0.25">
      <c r="J160" s="275" t="s">
        <v>165</v>
      </c>
      <c r="K160" s="258" t="s">
        <v>662</v>
      </c>
    </row>
    <row r="161" spans="10:11" ht="15.75" x14ac:dyDescent="0.25">
      <c r="J161" s="275" t="s">
        <v>165</v>
      </c>
      <c r="K161" s="258" t="s">
        <v>171</v>
      </c>
    </row>
    <row r="162" spans="10:11" ht="15.75" x14ac:dyDescent="0.25">
      <c r="J162" s="275" t="s">
        <v>165</v>
      </c>
      <c r="K162" s="258" t="s">
        <v>172</v>
      </c>
    </row>
    <row r="163" spans="10:11" ht="15.75" x14ac:dyDescent="0.25">
      <c r="J163" s="275" t="s">
        <v>165</v>
      </c>
      <c r="K163" s="258" t="s">
        <v>173</v>
      </c>
    </row>
    <row r="164" spans="10:11" ht="15.75" x14ac:dyDescent="0.25">
      <c r="J164" s="275" t="s">
        <v>165</v>
      </c>
      <c r="K164" s="267" t="s">
        <v>104</v>
      </c>
    </row>
    <row r="165" spans="10:11" ht="15.75" x14ac:dyDescent="0.25">
      <c r="J165" s="275" t="s">
        <v>165</v>
      </c>
      <c r="K165" s="258" t="s">
        <v>174</v>
      </c>
    </row>
    <row r="166" spans="10:11" ht="15.75" x14ac:dyDescent="0.25">
      <c r="J166" s="275" t="s">
        <v>165</v>
      </c>
      <c r="K166" s="258" t="s">
        <v>175</v>
      </c>
    </row>
    <row r="167" spans="10:11" ht="15.75" x14ac:dyDescent="0.25">
      <c r="J167" s="275" t="s">
        <v>165</v>
      </c>
      <c r="K167" s="258" t="s">
        <v>176</v>
      </c>
    </row>
    <row r="168" spans="10:11" ht="15.75" x14ac:dyDescent="0.25">
      <c r="J168" s="275" t="s">
        <v>165</v>
      </c>
      <c r="K168" s="258" t="s">
        <v>140</v>
      </c>
    </row>
    <row r="169" spans="10:11" ht="15.75" x14ac:dyDescent="0.25">
      <c r="J169" s="275" t="s">
        <v>165</v>
      </c>
      <c r="K169" s="258" t="s">
        <v>663</v>
      </c>
    </row>
    <row r="170" spans="10:11" ht="15.75" x14ac:dyDescent="0.25">
      <c r="J170" s="275" t="s">
        <v>165</v>
      </c>
      <c r="K170" s="258" t="s">
        <v>177</v>
      </c>
    </row>
    <row r="171" spans="10:11" ht="15.75" x14ac:dyDescent="0.25">
      <c r="J171" s="275" t="s">
        <v>165</v>
      </c>
      <c r="K171" s="258" t="s">
        <v>664</v>
      </c>
    </row>
    <row r="172" spans="10:11" ht="15.75" x14ac:dyDescent="0.25">
      <c r="J172" s="275" t="s">
        <v>165</v>
      </c>
      <c r="K172" s="258" t="s">
        <v>665</v>
      </c>
    </row>
    <row r="173" spans="10:11" ht="15.75" x14ac:dyDescent="0.25">
      <c r="J173" s="275" t="s">
        <v>165</v>
      </c>
      <c r="K173" s="267" t="s">
        <v>181</v>
      </c>
    </row>
    <row r="174" spans="10:11" ht="15.75" x14ac:dyDescent="0.25">
      <c r="J174" s="275" t="s">
        <v>182</v>
      </c>
      <c r="K174" s="258" t="s">
        <v>183</v>
      </c>
    </row>
    <row r="175" spans="10:11" ht="15.75" x14ac:dyDescent="0.25">
      <c r="J175" s="275" t="s">
        <v>49</v>
      </c>
      <c r="K175" s="258" t="s">
        <v>184</v>
      </c>
    </row>
    <row r="176" spans="10:11" ht="15.75" x14ac:dyDescent="0.25">
      <c r="J176" s="275" t="s">
        <v>185</v>
      </c>
      <c r="K176" s="258" t="s">
        <v>186</v>
      </c>
    </row>
    <row r="177" spans="10:11" ht="15.75" x14ac:dyDescent="0.25">
      <c r="J177" s="275" t="s">
        <v>185</v>
      </c>
      <c r="K177" s="267" t="s">
        <v>187</v>
      </c>
    </row>
    <row r="178" spans="10:11" ht="15.75" x14ac:dyDescent="0.25">
      <c r="J178" s="275" t="s">
        <v>188</v>
      </c>
      <c r="K178" s="258" t="s">
        <v>189</v>
      </c>
    </row>
    <row r="179" spans="10:11" ht="15.75" x14ac:dyDescent="0.25">
      <c r="J179" s="275" t="s">
        <v>190</v>
      </c>
      <c r="K179" s="258" t="s">
        <v>191</v>
      </c>
    </row>
    <row r="180" spans="10:11" ht="15.75" x14ac:dyDescent="0.25">
      <c r="J180" s="275" t="s">
        <v>190</v>
      </c>
      <c r="K180" s="258" t="s">
        <v>192</v>
      </c>
    </row>
    <row r="181" spans="10:11" ht="15.75" x14ac:dyDescent="0.25">
      <c r="J181" s="275" t="s">
        <v>190</v>
      </c>
      <c r="K181" s="258" t="s">
        <v>666</v>
      </c>
    </row>
    <row r="182" spans="10:11" ht="15.75" x14ac:dyDescent="0.25">
      <c r="J182" s="275" t="s">
        <v>190</v>
      </c>
      <c r="K182" s="258" t="s">
        <v>193</v>
      </c>
    </row>
    <row r="183" spans="10:11" ht="15.75" x14ac:dyDescent="0.25">
      <c r="J183" s="275" t="s">
        <v>190</v>
      </c>
      <c r="K183" s="258" t="s">
        <v>194</v>
      </c>
    </row>
    <row r="184" spans="10:11" ht="15.75" x14ac:dyDescent="0.25">
      <c r="J184" s="275" t="s">
        <v>190</v>
      </c>
      <c r="K184" s="258" t="s">
        <v>195</v>
      </c>
    </row>
    <row r="185" spans="10:11" ht="15.75" x14ac:dyDescent="0.25">
      <c r="J185" s="275" t="s">
        <v>190</v>
      </c>
      <c r="K185" s="258" t="s">
        <v>196</v>
      </c>
    </row>
    <row r="186" spans="10:11" ht="15.75" x14ac:dyDescent="0.25">
      <c r="J186" s="275" t="s">
        <v>617</v>
      </c>
      <c r="K186" s="258" t="s">
        <v>199</v>
      </c>
    </row>
    <row r="187" spans="10:11" ht="15.75" x14ac:dyDescent="0.25">
      <c r="J187" s="275" t="s">
        <v>52</v>
      </c>
      <c r="K187" s="258" t="s">
        <v>200</v>
      </c>
    </row>
    <row r="188" spans="10:11" ht="15.75" x14ac:dyDescent="0.25">
      <c r="J188" s="275" t="s">
        <v>52</v>
      </c>
      <c r="K188" s="258" t="s">
        <v>201</v>
      </c>
    </row>
    <row r="189" spans="10:11" ht="15.75" x14ac:dyDescent="0.25">
      <c r="J189" s="275" t="s">
        <v>202</v>
      </c>
      <c r="K189" s="267" t="s">
        <v>214</v>
      </c>
    </row>
    <row r="190" spans="10:11" ht="15.75" x14ac:dyDescent="0.25">
      <c r="J190" s="275" t="s">
        <v>202</v>
      </c>
      <c r="K190" s="258" t="s">
        <v>203</v>
      </c>
    </row>
    <row r="191" spans="10:11" ht="15.75" x14ac:dyDescent="0.25">
      <c r="J191" s="275" t="s">
        <v>202</v>
      </c>
      <c r="K191" s="258" t="s">
        <v>204</v>
      </c>
    </row>
    <row r="192" spans="10:11" ht="15.75" x14ac:dyDescent="0.25">
      <c r="J192" s="275" t="s">
        <v>202</v>
      </c>
      <c r="K192" s="258" t="s">
        <v>205</v>
      </c>
    </row>
    <row r="193" spans="10:11" ht="15.75" x14ac:dyDescent="0.25">
      <c r="J193" s="275" t="s">
        <v>202</v>
      </c>
      <c r="K193" s="267" t="s">
        <v>206</v>
      </c>
    </row>
    <row r="194" spans="10:11" ht="15.75" x14ac:dyDescent="0.25">
      <c r="J194" s="275" t="s">
        <v>202</v>
      </c>
      <c r="K194" s="258" t="s">
        <v>207</v>
      </c>
    </row>
    <row r="195" spans="10:11" ht="15.75" x14ac:dyDescent="0.25">
      <c r="J195" s="275" t="s">
        <v>202</v>
      </c>
      <c r="K195" s="258" t="s">
        <v>208</v>
      </c>
    </row>
    <row r="196" spans="10:11" ht="15.75" x14ac:dyDescent="0.25">
      <c r="J196" s="275" t="s">
        <v>202</v>
      </c>
      <c r="K196" s="258" t="s">
        <v>667</v>
      </c>
    </row>
    <row r="197" spans="10:11" ht="15.75" x14ac:dyDescent="0.25">
      <c r="J197" s="275" t="s">
        <v>202</v>
      </c>
      <c r="K197" s="258" t="s">
        <v>209</v>
      </c>
    </row>
    <row r="198" spans="10:11" ht="15.75" x14ac:dyDescent="0.25">
      <c r="J198" s="275" t="s">
        <v>202</v>
      </c>
      <c r="K198" s="258" t="s">
        <v>210</v>
      </c>
    </row>
    <row r="199" spans="10:11" ht="15.75" x14ac:dyDescent="0.25">
      <c r="J199" s="275" t="s">
        <v>202</v>
      </c>
      <c r="K199" s="258" t="s">
        <v>212</v>
      </c>
    </row>
    <row r="200" spans="10:11" ht="15.75" x14ac:dyDescent="0.25">
      <c r="J200" s="275" t="s">
        <v>202</v>
      </c>
      <c r="K200" s="280" t="s">
        <v>211</v>
      </c>
    </row>
    <row r="201" spans="10:11" ht="15.75" x14ac:dyDescent="0.25">
      <c r="J201" s="275" t="s">
        <v>202</v>
      </c>
      <c r="K201" s="280" t="s">
        <v>213</v>
      </c>
    </row>
    <row r="202" spans="10:11" ht="15.75" x14ac:dyDescent="0.25">
      <c r="J202" s="275" t="s">
        <v>202</v>
      </c>
      <c r="K202" s="280" t="s">
        <v>215</v>
      </c>
    </row>
    <row r="203" spans="10:11" ht="15.75" x14ac:dyDescent="0.25">
      <c r="J203" s="275" t="s">
        <v>618</v>
      </c>
      <c r="K203" s="280" t="s">
        <v>222</v>
      </c>
    </row>
    <row r="204" spans="10:11" ht="15.75" x14ac:dyDescent="0.25">
      <c r="J204" s="275" t="s">
        <v>618</v>
      </c>
      <c r="K204" s="280" t="s">
        <v>218</v>
      </c>
    </row>
    <row r="205" spans="10:11" ht="15.75" x14ac:dyDescent="0.25">
      <c r="J205" s="275" t="s">
        <v>618</v>
      </c>
      <c r="K205" s="280" t="s">
        <v>219</v>
      </c>
    </row>
    <row r="206" spans="10:11" ht="15.75" x14ac:dyDescent="0.25">
      <c r="J206" s="275" t="s">
        <v>618</v>
      </c>
      <c r="K206" s="280" t="s">
        <v>220</v>
      </c>
    </row>
    <row r="207" spans="10:11" ht="15.75" x14ac:dyDescent="0.25">
      <c r="J207" s="275" t="s">
        <v>618</v>
      </c>
      <c r="K207" s="280" t="s">
        <v>221</v>
      </c>
    </row>
    <row r="208" spans="10:11" ht="15.75" x14ac:dyDescent="0.25">
      <c r="J208" s="275" t="s">
        <v>618</v>
      </c>
      <c r="K208" s="280" t="s">
        <v>216</v>
      </c>
    </row>
    <row r="209" spans="10:11" ht="15.75" x14ac:dyDescent="0.25">
      <c r="J209" s="275" t="s">
        <v>618</v>
      </c>
      <c r="K209" s="280" t="s">
        <v>217</v>
      </c>
    </row>
    <row r="210" spans="10:11" ht="15.75" x14ac:dyDescent="0.25">
      <c r="J210" s="275" t="s">
        <v>67</v>
      </c>
      <c r="K210" s="282" t="s">
        <v>223</v>
      </c>
    </row>
    <row r="211" spans="10:11" ht="15.75" x14ac:dyDescent="0.25">
      <c r="J211" s="275" t="s">
        <v>67</v>
      </c>
      <c r="K211" s="280" t="s">
        <v>225</v>
      </c>
    </row>
    <row r="212" spans="10:11" ht="15.75" x14ac:dyDescent="0.25">
      <c r="J212" s="275" t="s">
        <v>67</v>
      </c>
      <c r="K212" s="280" t="s">
        <v>224</v>
      </c>
    </row>
    <row r="213" spans="10:11" ht="15.75" x14ac:dyDescent="0.25">
      <c r="J213" s="275" t="s">
        <v>226</v>
      </c>
      <c r="K213" s="280" t="s">
        <v>227</v>
      </c>
    </row>
    <row r="214" spans="10:11" ht="15.75" x14ac:dyDescent="0.25">
      <c r="J214" s="275" t="s">
        <v>226</v>
      </c>
      <c r="K214" s="280" t="s">
        <v>228</v>
      </c>
    </row>
    <row r="215" spans="10:11" ht="15.75" x14ac:dyDescent="0.25">
      <c r="J215" s="275" t="s">
        <v>229</v>
      </c>
      <c r="K215" s="280" t="s">
        <v>230</v>
      </c>
    </row>
    <row r="216" spans="10:11" ht="15.75" x14ac:dyDescent="0.25">
      <c r="J216" s="275" t="s">
        <v>229</v>
      </c>
      <c r="K216" s="280" t="s">
        <v>231</v>
      </c>
    </row>
    <row r="217" spans="10:11" ht="15.75" x14ac:dyDescent="0.25">
      <c r="J217" s="275" t="s">
        <v>229</v>
      </c>
      <c r="K217" s="280" t="s">
        <v>668</v>
      </c>
    </row>
    <row r="218" spans="10:11" ht="15.75" x14ac:dyDescent="0.25">
      <c r="J218" s="275" t="s">
        <v>229</v>
      </c>
      <c r="K218" s="280" t="s">
        <v>233</v>
      </c>
    </row>
    <row r="219" spans="10:11" ht="15.75" x14ac:dyDescent="0.25">
      <c r="J219" s="275" t="s">
        <v>229</v>
      </c>
      <c r="K219" s="280" t="s">
        <v>234</v>
      </c>
    </row>
    <row r="220" spans="10:11" ht="15.75" x14ac:dyDescent="0.25">
      <c r="J220" s="275" t="s">
        <v>229</v>
      </c>
      <c r="K220" s="280" t="s">
        <v>235</v>
      </c>
    </row>
    <row r="221" spans="10:11" ht="15.75" x14ac:dyDescent="0.25">
      <c r="J221" s="275" t="s">
        <v>229</v>
      </c>
      <c r="K221" s="280" t="s">
        <v>236</v>
      </c>
    </row>
    <row r="222" spans="10:11" ht="15.75" x14ac:dyDescent="0.25">
      <c r="J222" s="275" t="s">
        <v>229</v>
      </c>
      <c r="K222" s="280" t="s">
        <v>237</v>
      </c>
    </row>
    <row r="223" spans="10:11" ht="15.75" x14ac:dyDescent="0.25">
      <c r="J223" s="275" t="s">
        <v>229</v>
      </c>
      <c r="K223" s="280" t="s">
        <v>232</v>
      </c>
    </row>
    <row r="224" spans="10:11" ht="15.75" x14ac:dyDescent="0.25">
      <c r="J224" s="275" t="s">
        <v>238</v>
      </c>
      <c r="K224" s="280" t="s">
        <v>669</v>
      </c>
    </row>
    <row r="225" spans="10:11" ht="15.75" x14ac:dyDescent="0.25">
      <c r="J225" s="275" t="s">
        <v>238</v>
      </c>
      <c r="K225" s="280" t="s">
        <v>240</v>
      </c>
    </row>
    <row r="226" spans="10:11" ht="15.75" x14ac:dyDescent="0.25">
      <c r="J226" s="275" t="s">
        <v>238</v>
      </c>
      <c r="K226" s="258" t="s">
        <v>241</v>
      </c>
    </row>
    <row r="227" spans="10:11" ht="15.75" x14ac:dyDescent="0.25">
      <c r="J227" s="275" t="s">
        <v>238</v>
      </c>
      <c r="K227" s="258" t="s">
        <v>239</v>
      </c>
    </row>
    <row r="228" spans="10:11" ht="15.75" x14ac:dyDescent="0.25">
      <c r="J228" s="275" t="s">
        <v>242</v>
      </c>
      <c r="K228" s="258" t="s">
        <v>243</v>
      </c>
    </row>
    <row r="229" spans="10:11" ht="15.75" x14ac:dyDescent="0.25">
      <c r="J229" s="275" t="s">
        <v>242</v>
      </c>
      <c r="K229" s="258" t="s">
        <v>244</v>
      </c>
    </row>
    <row r="230" spans="10:11" ht="15.75" x14ac:dyDescent="0.25">
      <c r="J230" s="275" t="s">
        <v>242</v>
      </c>
      <c r="K230" s="258" t="s">
        <v>245</v>
      </c>
    </row>
    <row r="231" spans="10:11" ht="15.75" x14ac:dyDescent="0.25">
      <c r="J231" s="275" t="s">
        <v>246</v>
      </c>
      <c r="K231" s="258" t="s">
        <v>247</v>
      </c>
    </row>
    <row r="232" spans="10:11" ht="15.75" x14ac:dyDescent="0.25">
      <c r="J232" s="275" t="s">
        <v>248</v>
      </c>
      <c r="K232" s="258" t="s">
        <v>670</v>
      </c>
    </row>
    <row r="233" spans="10:11" ht="15.75" x14ac:dyDescent="0.25">
      <c r="J233" s="275" t="s">
        <v>248</v>
      </c>
      <c r="K233" s="258" t="s">
        <v>250</v>
      </c>
    </row>
    <row r="234" spans="10:11" ht="15.75" x14ac:dyDescent="0.25">
      <c r="J234" s="275" t="s">
        <v>619</v>
      </c>
      <c r="K234" s="258" t="s">
        <v>671</v>
      </c>
    </row>
    <row r="235" spans="10:11" ht="15.75" x14ac:dyDescent="0.25">
      <c r="J235" s="275" t="s">
        <v>619</v>
      </c>
      <c r="K235" s="258" t="s">
        <v>252</v>
      </c>
    </row>
    <row r="236" spans="10:11" ht="15.75" x14ac:dyDescent="0.25">
      <c r="J236" s="275" t="s">
        <v>619</v>
      </c>
      <c r="K236" s="258" t="s">
        <v>253</v>
      </c>
    </row>
    <row r="237" spans="10:11" ht="15.75" x14ac:dyDescent="0.25">
      <c r="J237" s="275" t="s">
        <v>619</v>
      </c>
      <c r="K237" s="258" t="s">
        <v>251</v>
      </c>
    </row>
    <row r="238" spans="10:11" ht="15.75" x14ac:dyDescent="0.25">
      <c r="J238" s="275" t="s">
        <v>254</v>
      </c>
      <c r="K238" s="258" t="s">
        <v>672</v>
      </c>
    </row>
    <row r="239" spans="10:11" ht="15.75" x14ac:dyDescent="0.25">
      <c r="J239" s="275" t="s">
        <v>254</v>
      </c>
      <c r="K239" s="258" t="s">
        <v>256</v>
      </c>
    </row>
    <row r="240" spans="10:11" ht="15.75" x14ac:dyDescent="0.25">
      <c r="J240" s="275" t="s">
        <v>254</v>
      </c>
      <c r="K240" s="258" t="s">
        <v>257</v>
      </c>
    </row>
    <row r="241" spans="10:11" ht="15.75" x14ac:dyDescent="0.25">
      <c r="J241" s="275" t="s">
        <v>254</v>
      </c>
      <c r="K241" s="258" t="s">
        <v>673</v>
      </c>
    </row>
    <row r="242" spans="10:11" ht="15.75" x14ac:dyDescent="0.25">
      <c r="J242" s="275" t="s">
        <v>254</v>
      </c>
      <c r="K242" s="258" t="s">
        <v>264</v>
      </c>
    </row>
    <row r="243" spans="10:11" ht="15.75" x14ac:dyDescent="0.25">
      <c r="J243" s="275" t="s">
        <v>254</v>
      </c>
      <c r="K243" s="258" t="s">
        <v>259</v>
      </c>
    </row>
    <row r="244" spans="10:11" ht="15.75" x14ac:dyDescent="0.25">
      <c r="J244" s="275" t="s">
        <v>254</v>
      </c>
      <c r="K244" s="258" t="s">
        <v>674</v>
      </c>
    </row>
    <row r="245" spans="10:11" ht="15.75" x14ac:dyDescent="0.25">
      <c r="J245" s="275" t="s">
        <v>254</v>
      </c>
      <c r="K245" s="258" t="s">
        <v>260</v>
      </c>
    </row>
    <row r="246" spans="10:11" ht="15.75" x14ac:dyDescent="0.25">
      <c r="J246" s="275" t="s">
        <v>254</v>
      </c>
      <c r="K246" s="258" t="s">
        <v>675</v>
      </c>
    </row>
    <row r="247" spans="10:11" ht="15.75" x14ac:dyDescent="0.25">
      <c r="J247" s="275" t="s">
        <v>254</v>
      </c>
      <c r="K247" s="258" t="s">
        <v>261</v>
      </c>
    </row>
    <row r="248" spans="10:11" ht="15.75" x14ac:dyDescent="0.25">
      <c r="J248" s="275" t="s">
        <v>254</v>
      </c>
      <c r="K248" s="258" t="s">
        <v>262</v>
      </c>
    </row>
    <row r="249" spans="10:11" ht="15.75" x14ac:dyDescent="0.25">
      <c r="J249" s="275" t="s">
        <v>254</v>
      </c>
      <c r="K249" s="258" t="s">
        <v>676</v>
      </c>
    </row>
    <row r="250" spans="10:11" ht="15.75" x14ac:dyDescent="0.25">
      <c r="J250" s="275" t="s">
        <v>254</v>
      </c>
      <c r="K250" s="258" t="s">
        <v>1635</v>
      </c>
    </row>
    <row r="251" spans="10:11" ht="15.75" x14ac:dyDescent="0.25">
      <c r="J251" s="275" t="s">
        <v>254</v>
      </c>
      <c r="K251" s="258" t="s">
        <v>263</v>
      </c>
    </row>
    <row r="252" spans="10:11" ht="15.75" x14ac:dyDescent="0.25">
      <c r="J252" s="275" t="s">
        <v>254</v>
      </c>
      <c r="K252" s="258" t="s">
        <v>677</v>
      </c>
    </row>
    <row r="253" spans="10:11" ht="15.75" x14ac:dyDescent="0.25">
      <c r="J253" s="275" t="s">
        <v>254</v>
      </c>
      <c r="K253" s="258" t="s">
        <v>258</v>
      </c>
    </row>
    <row r="254" spans="10:11" ht="15.75" x14ac:dyDescent="0.25">
      <c r="J254" s="275" t="s">
        <v>265</v>
      </c>
      <c r="K254" s="258" t="s">
        <v>678</v>
      </c>
    </row>
    <row r="255" spans="10:11" ht="15.75" x14ac:dyDescent="0.25">
      <c r="J255" s="275" t="s">
        <v>265</v>
      </c>
      <c r="K255" s="258" t="s">
        <v>266</v>
      </c>
    </row>
    <row r="256" spans="10:11" ht="15.75" x14ac:dyDescent="0.25">
      <c r="J256" s="275" t="s">
        <v>267</v>
      </c>
      <c r="K256" s="258" t="s">
        <v>268</v>
      </c>
    </row>
    <row r="257" spans="10:11" ht="15.75" x14ac:dyDescent="0.25">
      <c r="J257" s="275" t="s">
        <v>620</v>
      </c>
      <c r="K257" s="258" t="s">
        <v>9</v>
      </c>
    </row>
    <row r="258" spans="10:11" ht="15.75" x14ac:dyDescent="0.25">
      <c r="J258" s="275" t="s">
        <v>620</v>
      </c>
      <c r="K258" s="258" t="s">
        <v>10</v>
      </c>
    </row>
    <row r="259" spans="10:11" ht="15.75" x14ac:dyDescent="0.25">
      <c r="J259" s="275" t="s">
        <v>620</v>
      </c>
      <c r="K259" s="258" t="s">
        <v>11</v>
      </c>
    </row>
    <row r="260" spans="10:11" ht="15.75" x14ac:dyDescent="0.25">
      <c r="J260" s="275" t="s">
        <v>620</v>
      </c>
      <c r="K260" s="258" t="s">
        <v>12</v>
      </c>
    </row>
    <row r="261" spans="10:11" ht="15.75" x14ac:dyDescent="0.25">
      <c r="J261" s="275" t="s">
        <v>269</v>
      </c>
      <c r="K261" s="258" t="s">
        <v>270</v>
      </c>
    </row>
    <row r="262" spans="10:11" ht="15.75" x14ac:dyDescent="0.25">
      <c r="J262" s="275" t="s">
        <v>269</v>
      </c>
      <c r="K262" s="258" t="s">
        <v>271</v>
      </c>
    </row>
    <row r="263" spans="10:11" ht="15.75" x14ac:dyDescent="0.25">
      <c r="J263" s="275" t="s">
        <v>269</v>
      </c>
      <c r="K263" s="258" t="s">
        <v>272</v>
      </c>
    </row>
    <row r="264" spans="10:11" ht="15.75" x14ac:dyDescent="0.25">
      <c r="J264" s="275" t="s">
        <v>269</v>
      </c>
      <c r="K264" s="258" t="s">
        <v>273</v>
      </c>
    </row>
    <row r="265" spans="10:11" ht="15.75" x14ac:dyDescent="0.25">
      <c r="J265" s="275" t="s">
        <v>269</v>
      </c>
      <c r="K265" s="258" t="s">
        <v>274</v>
      </c>
    </row>
    <row r="266" spans="10:11" ht="15.75" x14ac:dyDescent="0.25">
      <c r="J266" s="275" t="s">
        <v>275</v>
      </c>
      <c r="K266" s="258" t="s">
        <v>276</v>
      </c>
    </row>
    <row r="267" spans="10:11" ht="15.75" x14ac:dyDescent="0.25">
      <c r="J267" s="275" t="s">
        <v>275</v>
      </c>
      <c r="K267" s="258" t="s">
        <v>1634</v>
      </c>
    </row>
    <row r="268" spans="10:11" ht="15.75" x14ac:dyDescent="0.25">
      <c r="J268" s="275" t="s">
        <v>275</v>
      </c>
      <c r="K268" s="258" t="s">
        <v>277</v>
      </c>
    </row>
    <row r="269" spans="10:11" ht="15.75" x14ac:dyDescent="0.25">
      <c r="J269" s="275" t="s">
        <v>275</v>
      </c>
      <c r="K269" s="258" t="s">
        <v>279</v>
      </c>
    </row>
    <row r="270" spans="10:11" ht="15.75" x14ac:dyDescent="0.25">
      <c r="J270" s="275" t="s">
        <v>275</v>
      </c>
      <c r="K270" s="258" t="s">
        <v>280</v>
      </c>
    </row>
    <row r="271" spans="10:11" ht="15.75" x14ac:dyDescent="0.25">
      <c r="J271" s="275" t="s">
        <v>275</v>
      </c>
      <c r="K271" s="258" t="s">
        <v>281</v>
      </c>
    </row>
    <row r="272" spans="10:11" ht="15.75" x14ac:dyDescent="0.25">
      <c r="J272" s="275" t="s">
        <v>275</v>
      </c>
      <c r="K272" s="258" t="s">
        <v>679</v>
      </c>
    </row>
    <row r="273" spans="10:11" ht="15.75" x14ac:dyDescent="0.25">
      <c r="J273" s="275" t="s">
        <v>275</v>
      </c>
      <c r="K273" s="258" t="s">
        <v>680</v>
      </c>
    </row>
    <row r="274" spans="10:11" ht="15.75" x14ac:dyDescent="0.25">
      <c r="J274" s="275" t="s">
        <v>275</v>
      </c>
      <c r="K274" s="258" t="s">
        <v>282</v>
      </c>
    </row>
    <row r="275" spans="10:11" ht="15.75" x14ac:dyDescent="0.25">
      <c r="J275" s="275" t="s">
        <v>275</v>
      </c>
      <c r="K275" s="258" t="s">
        <v>278</v>
      </c>
    </row>
    <row r="276" spans="10:11" ht="15.75" x14ac:dyDescent="0.25">
      <c r="J276" s="275" t="s">
        <v>2</v>
      </c>
      <c r="K276" s="258" t="s">
        <v>283</v>
      </c>
    </row>
    <row r="277" spans="10:11" ht="15.75" x14ac:dyDescent="0.25">
      <c r="J277" s="275" t="s">
        <v>2</v>
      </c>
      <c r="K277" s="258" t="s">
        <v>284</v>
      </c>
    </row>
    <row r="278" spans="10:11" ht="15.75" x14ac:dyDescent="0.25">
      <c r="J278" s="275" t="s">
        <v>2</v>
      </c>
      <c r="K278" s="258" t="s">
        <v>94</v>
      </c>
    </row>
    <row r="279" spans="10:11" ht="15.75" x14ac:dyDescent="0.25">
      <c r="J279" s="275" t="s">
        <v>68</v>
      </c>
      <c r="K279" s="258" t="s">
        <v>69</v>
      </c>
    </row>
    <row r="280" spans="10:11" ht="15.75" x14ac:dyDescent="0.25">
      <c r="J280" s="275" t="s">
        <v>68</v>
      </c>
      <c r="K280" s="258" t="s">
        <v>70</v>
      </c>
    </row>
    <row r="281" spans="10:11" ht="15.75" x14ac:dyDescent="0.25">
      <c r="J281" s="275" t="s">
        <v>98</v>
      </c>
      <c r="K281" s="258" t="s">
        <v>99</v>
      </c>
    </row>
    <row r="282" spans="10:11" ht="15.75" x14ac:dyDescent="0.25">
      <c r="J282" s="275" t="s">
        <v>458</v>
      </c>
      <c r="K282" s="258" t="s">
        <v>285</v>
      </c>
    </row>
    <row r="283" spans="10:11" ht="15.75" x14ac:dyDescent="0.25">
      <c r="J283" s="275" t="s">
        <v>329</v>
      </c>
      <c r="K283" s="258" t="s">
        <v>330</v>
      </c>
    </row>
    <row r="284" spans="10:11" ht="15.75" x14ac:dyDescent="0.25">
      <c r="J284" s="275" t="s">
        <v>329</v>
      </c>
      <c r="K284" s="258" t="s">
        <v>331</v>
      </c>
    </row>
    <row r="285" spans="10:11" ht="15.75" x14ac:dyDescent="0.25">
      <c r="J285" s="275" t="s">
        <v>329</v>
      </c>
      <c r="K285" s="258" t="s">
        <v>332</v>
      </c>
    </row>
    <row r="286" spans="10:11" ht="15.75" x14ac:dyDescent="0.25">
      <c r="J286" s="275" t="s">
        <v>329</v>
      </c>
      <c r="K286" s="258" t="s">
        <v>333</v>
      </c>
    </row>
    <row r="287" spans="10:11" ht="15.75" x14ac:dyDescent="0.25">
      <c r="J287" s="275" t="s">
        <v>329</v>
      </c>
      <c r="K287" s="258" t="s">
        <v>334</v>
      </c>
    </row>
    <row r="288" spans="10:11" ht="15.75" x14ac:dyDescent="0.25">
      <c r="J288" s="275" t="s">
        <v>329</v>
      </c>
      <c r="K288" s="258" t="s">
        <v>681</v>
      </c>
    </row>
    <row r="289" spans="10:11" ht="15.75" x14ac:dyDescent="0.25">
      <c r="J289" s="275" t="s">
        <v>329</v>
      </c>
      <c r="K289" s="258" t="s">
        <v>335</v>
      </c>
    </row>
    <row r="290" spans="10:11" ht="15.75" x14ac:dyDescent="0.25">
      <c r="J290" s="275" t="s">
        <v>145</v>
      </c>
      <c r="K290" s="258" t="s">
        <v>153</v>
      </c>
    </row>
    <row r="291" spans="10:11" ht="15.75" x14ac:dyDescent="0.25">
      <c r="J291" s="275" t="s">
        <v>145</v>
      </c>
      <c r="K291" s="258" t="s">
        <v>154</v>
      </c>
    </row>
    <row r="292" spans="10:11" ht="15.75" x14ac:dyDescent="0.25">
      <c r="J292" s="275" t="s">
        <v>145</v>
      </c>
      <c r="K292" s="258" t="s">
        <v>682</v>
      </c>
    </row>
    <row r="293" spans="10:11" ht="15.75" x14ac:dyDescent="0.25">
      <c r="J293" s="275" t="s">
        <v>145</v>
      </c>
      <c r="K293" s="258" t="s">
        <v>147</v>
      </c>
    </row>
    <row r="294" spans="10:11" ht="15.75" x14ac:dyDescent="0.25">
      <c r="J294" s="275" t="s">
        <v>145</v>
      </c>
      <c r="K294" s="258" t="s">
        <v>146</v>
      </c>
    </row>
    <row r="295" spans="10:11" ht="15.75" x14ac:dyDescent="0.25">
      <c r="J295" s="275" t="s">
        <v>145</v>
      </c>
      <c r="K295" s="258" t="s">
        <v>148</v>
      </c>
    </row>
    <row r="296" spans="10:11" ht="15.75" x14ac:dyDescent="0.25">
      <c r="J296" s="275" t="s">
        <v>145</v>
      </c>
      <c r="K296" s="258" t="s">
        <v>683</v>
      </c>
    </row>
    <row r="297" spans="10:11" ht="15.75" x14ac:dyDescent="0.25">
      <c r="J297" s="275" t="s">
        <v>145</v>
      </c>
      <c r="K297" s="258" t="s">
        <v>152</v>
      </c>
    </row>
    <row r="298" spans="10:11" ht="15.75" x14ac:dyDescent="0.25">
      <c r="J298" s="275" t="s">
        <v>145</v>
      </c>
      <c r="K298" s="258" t="s">
        <v>151</v>
      </c>
    </row>
    <row r="299" spans="10:11" ht="15.75" x14ac:dyDescent="0.25">
      <c r="J299" s="275" t="s">
        <v>145</v>
      </c>
      <c r="K299" s="258" t="s">
        <v>150</v>
      </c>
    </row>
    <row r="300" spans="10:11" ht="15.75" x14ac:dyDescent="0.25">
      <c r="J300" s="275" t="s">
        <v>145</v>
      </c>
      <c r="K300" s="258" t="s">
        <v>149</v>
      </c>
    </row>
    <row r="301" spans="10:11" ht="15.75" x14ac:dyDescent="0.25">
      <c r="J301" s="275" t="s">
        <v>197</v>
      </c>
      <c r="K301" s="258" t="s">
        <v>198</v>
      </c>
    </row>
    <row r="302" spans="10:11" ht="15.75" x14ac:dyDescent="0.25">
      <c r="J302" s="275" t="s">
        <v>288</v>
      </c>
      <c r="K302" s="258" t="s">
        <v>289</v>
      </c>
    </row>
    <row r="303" spans="10:11" ht="15.75" x14ac:dyDescent="0.25">
      <c r="J303" s="275" t="s">
        <v>336</v>
      </c>
      <c r="K303" s="258" t="s">
        <v>337</v>
      </c>
    </row>
    <row r="304" spans="10:11" ht="15.75" x14ac:dyDescent="0.25">
      <c r="J304" s="275" t="s">
        <v>336</v>
      </c>
      <c r="K304" s="258" t="s">
        <v>338</v>
      </c>
    </row>
    <row r="305" spans="10:11" ht="15.75" x14ac:dyDescent="0.25">
      <c r="J305" s="275" t="s">
        <v>336</v>
      </c>
      <c r="K305" s="258" t="s">
        <v>339</v>
      </c>
    </row>
    <row r="306" spans="10:11" ht="15.75" x14ac:dyDescent="0.25">
      <c r="J306" s="275" t="s">
        <v>336</v>
      </c>
      <c r="K306" s="258" t="s">
        <v>340</v>
      </c>
    </row>
    <row r="307" spans="10:11" ht="15.75" x14ac:dyDescent="0.25">
      <c r="J307" s="275" t="s">
        <v>336</v>
      </c>
      <c r="K307" s="258" t="s">
        <v>341</v>
      </c>
    </row>
    <row r="308" spans="10:11" ht="15.75" x14ac:dyDescent="0.25">
      <c r="J308" s="275" t="s">
        <v>336</v>
      </c>
      <c r="K308" s="258" t="s">
        <v>342</v>
      </c>
    </row>
    <row r="309" spans="10:11" ht="15.75" x14ac:dyDescent="0.25">
      <c r="J309" s="275" t="s">
        <v>336</v>
      </c>
      <c r="K309" s="258" t="s">
        <v>374</v>
      </c>
    </row>
    <row r="310" spans="10:11" ht="15.75" x14ac:dyDescent="0.25">
      <c r="J310" s="275" t="s">
        <v>336</v>
      </c>
      <c r="K310" s="258" t="s">
        <v>375</v>
      </c>
    </row>
    <row r="311" spans="10:11" ht="15.75" x14ac:dyDescent="0.25">
      <c r="J311" s="275" t="s">
        <v>336</v>
      </c>
      <c r="K311" s="258" t="s">
        <v>376</v>
      </c>
    </row>
    <row r="312" spans="10:11" ht="15.75" x14ac:dyDescent="0.25">
      <c r="J312" s="275" t="s">
        <v>336</v>
      </c>
      <c r="K312" s="258" t="s">
        <v>377</v>
      </c>
    </row>
    <row r="313" spans="10:11" ht="15.75" x14ac:dyDescent="0.25">
      <c r="J313" s="275" t="s">
        <v>336</v>
      </c>
      <c r="K313" s="258" t="s">
        <v>346</v>
      </c>
    </row>
    <row r="314" spans="10:11" ht="15.75" x14ac:dyDescent="0.25">
      <c r="J314" s="275" t="s">
        <v>336</v>
      </c>
      <c r="K314" s="258" t="s">
        <v>347</v>
      </c>
    </row>
    <row r="315" spans="10:11" ht="15.75" x14ac:dyDescent="0.25">
      <c r="J315" s="275" t="s">
        <v>336</v>
      </c>
      <c r="K315" s="258" t="s">
        <v>348</v>
      </c>
    </row>
    <row r="316" spans="10:11" ht="15.75" x14ac:dyDescent="0.25">
      <c r="J316" s="275" t="s">
        <v>336</v>
      </c>
      <c r="K316" s="258" t="s">
        <v>345</v>
      </c>
    </row>
    <row r="317" spans="10:11" ht="15.75" x14ac:dyDescent="0.25">
      <c r="J317" s="275" t="s">
        <v>336</v>
      </c>
      <c r="K317" s="258" t="s">
        <v>349</v>
      </c>
    </row>
    <row r="318" spans="10:11" ht="15.75" x14ac:dyDescent="0.25">
      <c r="J318" s="275" t="s">
        <v>336</v>
      </c>
      <c r="K318" s="258" t="s">
        <v>379</v>
      </c>
    </row>
    <row r="319" spans="10:11" ht="15.75" x14ac:dyDescent="0.25">
      <c r="J319" s="275" t="s">
        <v>336</v>
      </c>
      <c r="K319" s="258" t="s">
        <v>380</v>
      </c>
    </row>
    <row r="320" spans="10:11" ht="15.75" x14ac:dyDescent="0.25">
      <c r="J320" s="275" t="s">
        <v>336</v>
      </c>
      <c r="K320" s="258" t="s">
        <v>350</v>
      </c>
    </row>
    <row r="321" spans="10:11" ht="15.75" x14ac:dyDescent="0.25">
      <c r="J321" s="275" t="s">
        <v>336</v>
      </c>
      <c r="K321" s="258" t="s">
        <v>684</v>
      </c>
    </row>
    <row r="322" spans="10:11" ht="15.75" x14ac:dyDescent="0.25">
      <c r="J322" s="275" t="s">
        <v>336</v>
      </c>
      <c r="K322" s="258" t="s">
        <v>685</v>
      </c>
    </row>
    <row r="323" spans="10:11" ht="15.75" x14ac:dyDescent="0.25">
      <c r="J323" s="275" t="s">
        <v>336</v>
      </c>
      <c r="K323" s="258" t="s">
        <v>351</v>
      </c>
    </row>
    <row r="324" spans="10:11" ht="15.75" x14ac:dyDescent="0.25">
      <c r="J324" s="275" t="s">
        <v>336</v>
      </c>
      <c r="K324" s="258" t="s">
        <v>352</v>
      </c>
    </row>
    <row r="325" spans="10:11" ht="15.75" x14ac:dyDescent="0.25">
      <c r="J325" s="275" t="s">
        <v>336</v>
      </c>
      <c r="K325" s="258" t="s">
        <v>353</v>
      </c>
    </row>
    <row r="326" spans="10:11" ht="15.75" x14ac:dyDescent="0.25">
      <c r="J326" s="275" t="s">
        <v>336</v>
      </c>
      <c r="K326" s="258" t="s">
        <v>354</v>
      </c>
    </row>
    <row r="327" spans="10:11" ht="15.75" x14ac:dyDescent="0.25">
      <c r="J327" s="275" t="s">
        <v>336</v>
      </c>
      <c r="K327" s="258" t="s">
        <v>355</v>
      </c>
    </row>
    <row r="328" spans="10:11" ht="15.75" x14ac:dyDescent="0.25">
      <c r="J328" s="275" t="s">
        <v>336</v>
      </c>
      <c r="K328" s="258" t="s">
        <v>356</v>
      </c>
    </row>
    <row r="329" spans="10:11" ht="15.75" x14ac:dyDescent="0.25">
      <c r="J329" s="275" t="s">
        <v>336</v>
      </c>
      <c r="K329" s="258" t="s">
        <v>359</v>
      </c>
    </row>
    <row r="330" spans="10:11" ht="15.75" x14ac:dyDescent="0.25">
      <c r="J330" s="275" t="s">
        <v>336</v>
      </c>
      <c r="K330" s="258" t="s">
        <v>357</v>
      </c>
    </row>
    <row r="331" spans="10:11" ht="15.75" x14ac:dyDescent="0.25">
      <c r="J331" s="275" t="s">
        <v>336</v>
      </c>
      <c r="K331" s="258" t="s">
        <v>358</v>
      </c>
    </row>
    <row r="332" spans="10:11" ht="15.75" x14ac:dyDescent="0.25">
      <c r="J332" s="275" t="s">
        <v>336</v>
      </c>
      <c r="K332" s="258" t="s">
        <v>686</v>
      </c>
    </row>
    <row r="333" spans="10:11" ht="15.75" x14ac:dyDescent="0.25">
      <c r="J333" s="275" t="s">
        <v>336</v>
      </c>
      <c r="K333" s="258" t="s">
        <v>360</v>
      </c>
    </row>
    <row r="334" spans="10:11" ht="15.75" x14ac:dyDescent="0.25">
      <c r="J334" s="275" t="s">
        <v>336</v>
      </c>
      <c r="K334" s="258" t="s">
        <v>361</v>
      </c>
    </row>
    <row r="335" spans="10:11" ht="15.75" x14ac:dyDescent="0.25">
      <c r="J335" s="275" t="s">
        <v>336</v>
      </c>
      <c r="K335" s="258" t="s">
        <v>363</v>
      </c>
    </row>
    <row r="336" spans="10:11" ht="15.75" x14ac:dyDescent="0.25">
      <c r="J336" s="275" t="s">
        <v>336</v>
      </c>
      <c r="K336" s="258" t="s">
        <v>365</v>
      </c>
    </row>
    <row r="337" spans="10:11" ht="15.75" x14ac:dyDescent="0.25">
      <c r="J337" s="275" t="s">
        <v>336</v>
      </c>
      <c r="K337" s="258" t="s">
        <v>364</v>
      </c>
    </row>
    <row r="338" spans="10:11" ht="15.75" x14ac:dyDescent="0.25">
      <c r="J338" s="275" t="s">
        <v>336</v>
      </c>
      <c r="K338" s="258" t="s">
        <v>366</v>
      </c>
    </row>
    <row r="339" spans="10:11" ht="15.75" x14ac:dyDescent="0.25">
      <c r="J339" s="275" t="s">
        <v>336</v>
      </c>
      <c r="K339" s="258" t="s">
        <v>687</v>
      </c>
    </row>
    <row r="340" spans="10:11" ht="15.75" x14ac:dyDescent="0.25">
      <c r="J340" s="275" t="s">
        <v>336</v>
      </c>
      <c r="K340" s="258" t="s">
        <v>367</v>
      </c>
    </row>
    <row r="341" spans="10:11" ht="15.75" x14ac:dyDescent="0.25">
      <c r="J341" s="275" t="s">
        <v>336</v>
      </c>
      <c r="K341" s="258" t="s">
        <v>368</v>
      </c>
    </row>
    <row r="342" spans="10:11" ht="15.75" x14ac:dyDescent="0.25">
      <c r="J342" s="275" t="s">
        <v>336</v>
      </c>
      <c r="K342" s="258" t="s">
        <v>369</v>
      </c>
    </row>
    <row r="343" spans="10:11" ht="15.75" x14ac:dyDescent="0.25">
      <c r="J343" s="275" t="s">
        <v>336</v>
      </c>
      <c r="K343" s="258" t="s">
        <v>688</v>
      </c>
    </row>
    <row r="344" spans="10:11" ht="15.75" x14ac:dyDescent="0.25">
      <c r="J344" s="275" t="s">
        <v>336</v>
      </c>
      <c r="K344" s="258" t="s">
        <v>370</v>
      </c>
    </row>
    <row r="345" spans="10:11" ht="15.75" x14ac:dyDescent="0.25">
      <c r="J345" s="275" t="s">
        <v>336</v>
      </c>
      <c r="K345" s="258" t="s">
        <v>371</v>
      </c>
    </row>
    <row r="346" spans="10:11" ht="15.75" x14ac:dyDescent="0.25">
      <c r="J346" s="275" t="s">
        <v>336</v>
      </c>
      <c r="K346" s="258" t="s">
        <v>372</v>
      </c>
    </row>
    <row r="347" spans="10:11" ht="15.75" x14ac:dyDescent="0.25">
      <c r="J347" s="275" t="s">
        <v>336</v>
      </c>
      <c r="K347" s="258" t="s">
        <v>373</v>
      </c>
    </row>
    <row r="348" spans="10:11" ht="15.75" x14ac:dyDescent="0.25">
      <c r="J348" s="275" t="s">
        <v>336</v>
      </c>
      <c r="K348" s="258" t="s">
        <v>343</v>
      </c>
    </row>
    <row r="349" spans="10:11" ht="15.75" x14ac:dyDescent="0.25">
      <c r="J349" s="275" t="s">
        <v>336</v>
      </c>
      <c r="K349" s="258" t="s">
        <v>344</v>
      </c>
    </row>
    <row r="350" spans="10:11" ht="15.75" x14ac:dyDescent="0.25">
      <c r="J350" s="275" t="s">
        <v>336</v>
      </c>
      <c r="K350" s="258" t="s">
        <v>362</v>
      </c>
    </row>
    <row r="351" spans="10:11" ht="15.75" x14ac:dyDescent="0.25">
      <c r="J351" s="275" t="s">
        <v>336</v>
      </c>
      <c r="K351" s="258" t="s">
        <v>689</v>
      </c>
    </row>
    <row r="352" spans="10:11" ht="15.75" x14ac:dyDescent="0.25">
      <c r="J352" s="275" t="s">
        <v>336</v>
      </c>
      <c r="K352" s="258" t="s">
        <v>378</v>
      </c>
    </row>
    <row r="353" spans="10:11" ht="15.75" x14ac:dyDescent="0.25">
      <c r="J353" s="275" t="s">
        <v>621</v>
      </c>
      <c r="K353" s="258" t="s">
        <v>290</v>
      </c>
    </row>
    <row r="354" spans="10:11" ht="15.75" x14ac:dyDescent="0.25">
      <c r="J354" s="275" t="s">
        <v>381</v>
      </c>
      <c r="K354" s="258" t="s">
        <v>382</v>
      </c>
    </row>
    <row r="355" spans="10:11" ht="15.75" x14ac:dyDescent="0.25">
      <c r="J355" s="275" t="s">
        <v>381</v>
      </c>
      <c r="K355" s="258" t="s">
        <v>383</v>
      </c>
    </row>
    <row r="356" spans="10:11" ht="15.75" x14ac:dyDescent="0.25">
      <c r="J356" s="275" t="s">
        <v>381</v>
      </c>
      <c r="K356" s="258" t="s">
        <v>384</v>
      </c>
    </row>
    <row r="357" spans="10:11" ht="15.75" x14ac:dyDescent="0.25">
      <c r="J357" s="275" t="s">
        <v>622</v>
      </c>
      <c r="K357" s="258" t="s">
        <v>391</v>
      </c>
    </row>
    <row r="358" spans="10:11" ht="15.75" x14ac:dyDescent="0.25">
      <c r="J358" s="275" t="s">
        <v>623</v>
      </c>
      <c r="K358" s="258" t="s">
        <v>286</v>
      </c>
    </row>
    <row r="359" spans="10:11" ht="15.75" x14ac:dyDescent="0.25">
      <c r="J359" s="275" t="s">
        <v>623</v>
      </c>
      <c r="K359" s="258" t="s">
        <v>287</v>
      </c>
    </row>
    <row r="360" spans="10:11" ht="15.75" x14ac:dyDescent="0.25">
      <c r="J360" s="275" t="s">
        <v>291</v>
      </c>
      <c r="K360" s="258" t="s">
        <v>292</v>
      </c>
    </row>
    <row r="361" spans="10:11" ht="15.75" x14ac:dyDescent="0.25">
      <c r="J361" s="275" t="s">
        <v>291</v>
      </c>
      <c r="K361" s="258" t="s">
        <v>690</v>
      </c>
    </row>
    <row r="362" spans="10:11" ht="15.75" x14ac:dyDescent="0.25">
      <c r="J362" s="275" t="s">
        <v>291</v>
      </c>
      <c r="K362" s="258" t="s">
        <v>1597</v>
      </c>
    </row>
    <row r="363" spans="10:11" ht="15.75" x14ac:dyDescent="0.25">
      <c r="J363" s="275" t="s">
        <v>294</v>
      </c>
      <c r="K363" s="258" t="s">
        <v>295</v>
      </c>
    </row>
    <row r="364" spans="10:11" ht="15.75" x14ac:dyDescent="0.25">
      <c r="J364" s="275" t="s">
        <v>307</v>
      </c>
      <c r="K364" s="258" t="s">
        <v>308</v>
      </c>
    </row>
    <row r="365" spans="10:11" ht="15.75" x14ac:dyDescent="0.25">
      <c r="J365" s="275" t="s">
        <v>624</v>
      </c>
      <c r="K365" s="258" t="s">
        <v>691</v>
      </c>
    </row>
    <row r="366" spans="10:11" ht="15.75" x14ac:dyDescent="0.25">
      <c r="J366" s="275" t="s">
        <v>249</v>
      </c>
      <c r="K366" s="258" t="s">
        <v>309</v>
      </c>
    </row>
    <row r="367" spans="10:11" ht="15.75" x14ac:dyDescent="0.25">
      <c r="J367" s="275" t="s">
        <v>249</v>
      </c>
      <c r="K367" s="275" t="s">
        <v>310</v>
      </c>
    </row>
    <row r="368" spans="10:11" ht="15.75" x14ac:dyDescent="0.25">
      <c r="J368" s="275" t="s">
        <v>249</v>
      </c>
      <c r="K368" s="258" t="s">
        <v>311</v>
      </c>
    </row>
    <row r="369" spans="10:11" ht="15.75" x14ac:dyDescent="0.25">
      <c r="J369" s="275" t="s">
        <v>296</v>
      </c>
      <c r="K369" s="258" t="s">
        <v>692</v>
      </c>
    </row>
    <row r="370" spans="10:11" ht="15.75" x14ac:dyDescent="0.25">
      <c r="J370" s="275" t="s">
        <v>296</v>
      </c>
      <c r="K370" s="258" t="s">
        <v>297</v>
      </c>
    </row>
    <row r="371" spans="10:11" ht="15.75" x14ac:dyDescent="0.25">
      <c r="J371" s="275" t="s">
        <v>296</v>
      </c>
      <c r="K371" s="258" t="s">
        <v>298</v>
      </c>
    </row>
    <row r="372" spans="10:11" ht="15.75" x14ac:dyDescent="0.25">
      <c r="J372" s="275" t="s">
        <v>296</v>
      </c>
      <c r="K372" s="258" t="s">
        <v>299</v>
      </c>
    </row>
    <row r="373" spans="10:11" ht="15.75" x14ac:dyDescent="0.25">
      <c r="J373" s="275" t="s">
        <v>296</v>
      </c>
      <c r="K373" s="258" t="s">
        <v>300</v>
      </c>
    </row>
    <row r="374" spans="10:11" ht="15.75" x14ac:dyDescent="0.25">
      <c r="J374" s="275" t="s">
        <v>296</v>
      </c>
      <c r="K374" s="258" t="s">
        <v>301</v>
      </c>
    </row>
    <row r="375" spans="10:11" ht="15.75" x14ac:dyDescent="0.25">
      <c r="J375" s="275" t="s">
        <v>296</v>
      </c>
      <c r="K375" s="258" t="s">
        <v>302</v>
      </c>
    </row>
    <row r="376" spans="10:11" ht="15.75" x14ac:dyDescent="0.25">
      <c r="J376" s="275" t="s">
        <v>296</v>
      </c>
      <c r="K376" s="258" t="s">
        <v>303</v>
      </c>
    </row>
    <row r="377" spans="10:11" ht="15.75" x14ac:dyDescent="0.25">
      <c r="J377" s="275" t="s">
        <v>296</v>
      </c>
      <c r="K377" s="258" t="s">
        <v>304</v>
      </c>
    </row>
    <row r="378" spans="10:11" ht="15.75" x14ac:dyDescent="0.25">
      <c r="J378" s="275" t="s">
        <v>296</v>
      </c>
      <c r="K378" s="258" t="s">
        <v>305</v>
      </c>
    </row>
    <row r="379" spans="10:11" ht="15.75" x14ac:dyDescent="0.25">
      <c r="J379" s="275" t="s">
        <v>296</v>
      </c>
      <c r="K379" s="258" t="s">
        <v>306</v>
      </c>
    </row>
    <row r="380" spans="10:11" ht="15.75" x14ac:dyDescent="0.25">
      <c r="J380" s="275" t="s">
        <v>296</v>
      </c>
      <c r="K380" s="258" t="s">
        <v>693</v>
      </c>
    </row>
    <row r="381" spans="10:11" ht="15.75" x14ac:dyDescent="0.25">
      <c r="J381" s="275" t="s">
        <v>296</v>
      </c>
      <c r="K381" s="258" t="s">
        <v>694</v>
      </c>
    </row>
    <row r="382" spans="10:11" ht="15.75" x14ac:dyDescent="0.25">
      <c r="J382" s="275" t="s">
        <v>296</v>
      </c>
      <c r="K382" s="258" t="s">
        <v>695</v>
      </c>
    </row>
    <row r="383" spans="10:11" ht="15.75" x14ac:dyDescent="0.25">
      <c r="J383" s="275" t="s">
        <v>296</v>
      </c>
      <c r="K383" s="258" t="s">
        <v>696</v>
      </c>
    </row>
    <row r="384" spans="10:11" ht="15.75" x14ac:dyDescent="0.25">
      <c r="J384" s="275" t="s">
        <v>320</v>
      </c>
      <c r="K384" s="258" t="s">
        <v>324</v>
      </c>
    </row>
    <row r="385" spans="10:11" ht="15.75" x14ac:dyDescent="0.25">
      <c r="J385" s="275" t="s">
        <v>320</v>
      </c>
      <c r="K385" s="258" t="s">
        <v>325</v>
      </c>
    </row>
    <row r="386" spans="10:11" ht="15.75" x14ac:dyDescent="0.25">
      <c r="J386" s="275" t="s">
        <v>320</v>
      </c>
      <c r="K386" s="258" t="s">
        <v>321</v>
      </c>
    </row>
    <row r="387" spans="10:11" ht="15.75" x14ac:dyDescent="0.25">
      <c r="J387" s="275" t="s">
        <v>320</v>
      </c>
      <c r="K387" s="258" t="s">
        <v>322</v>
      </c>
    </row>
    <row r="388" spans="10:11" ht="15.75" x14ac:dyDescent="0.25">
      <c r="J388" s="275" t="s">
        <v>320</v>
      </c>
      <c r="K388" s="258" t="s">
        <v>323</v>
      </c>
    </row>
    <row r="389" spans="10:11" ht="15.75" x14ac:dyDescent="0.25">
      <c r="J389" s="275" t="s">
        <v>320</v>
      </c>
      <c r="K389" s="258" t="s">
        <v>697</v>
      </c>
    </row>
    <row r="390" spans="10:11" ht="15.75" x14ac:dyDescent="0.25">
      <c r="J390" s="275" t="s">
        <v>312</v>
      </c>
      <c r="K390" s="258" t="s">
        <v>141</v>
      </c>
    </row>
    <row r="391" spans="10:11" ht="15.75" x14ac:dyDescent="0.25">
      <c r="J391" s="275" t="s">
        <v>312</v>
      </c>
      <c r="K391" s="258" t="s">
        <v>313</v>
      </c>
    </row>
    <row r="392" spans="10:11" ht="15.75" x14ac:dyDescent="0.25">
      <c r="J392" s="275" t="s">
        <v>314</v>
      </c>
      <c r="K392" s="258" t="s">
        <v>315</v>
      </c>
    </row>
    <row r="393" spans="10:11" ht="15.75" x14ac:dyDescent="0.25">
      <c r="J393" s="275" t="s">
        <v>314</v>
      </c>
      <c r="K393" s="258" t="s">
        <v>316</v>
      </c>
    </row>
    <row r="394" spans="10:11" ht="15.75" x14ac:dyDescent="0.25">
      <c r="J394" s="275" t="s">
        <v>314</v>
      </c>
      <c r="K394" s="258" t="s">
        <v>317</v>
      </c>
    </row>
    <row r="395" spans="10:11" ht="15.75" x14ac:dyDescent="0.25">
      <c r="J395" s="275" t="s">
        <v>314</v>
      </c>
      <c r="K395" s="258" t="s">
        <v>318</v>
      </c>
    </row>
    <row r="396" spans="10:11" ht="15.75" x14ac:dyDescent="0.25">
      <c r="J396" s="275" t="s">
        <v>314</v>
      </c>
      <c r="K396" s="258" t="s">
        <v>319</v>
      </c>
    </row>
    <row r="397" spans="10:11" ht="15.75" x14ac:dyDescent="0.25">
      <c r="J397" s="275" t="s">
        <v>326</v>
      </c>
      <c r="K397" s="258" t="s">
        <v>327</v>
      </c>
    </row>
    <row r="398" spans="10:11" ht="15.75" x14ac:dyDescent="0.25">
      <c r="J398" s="275" t="s">
        <v>392</v>
      </c>
      <c r="K398" s="258" t="s">
        <v>393</v>
      </c>
    </row>
    <row r="399" spans="10:11" ht="15.75" x14ac:dyDescent="0.25">
      <c r="J399" s="275" t="s">
        <v>392</v>
      </c>
      <c r="K399" s="258" t="s">
        <v>394</v>
      </c>
    </row>
    <row r="400" spans="10:11" ht="15.75" x14ac:dyDescent="0.25">
      <c r="J400" s="275" t="s">
        <v>392</v>
      </c>
      <c r="K400" s="258" t="s">
        <v>395</v>
      </c>
    </row>
    <row r="401" spans="10:11" ht="15.75" x14ac:dyDescent="0.25">
      <c r="J401" s="275" t="s">
        <v>55</v>
      </c>
      <c r="K401" s="258" t="s">
        <v>698</v>
      </c>
    </row>
    <row r="402" spans="10:11" ht="15.75" x14ac:dyDescent="0.25">
      <c r="J402" s="275" t="s">
        <v>55</v>
      </c>
      <c r="K402" s="258" t="s">
        <v>385</v>
      </c>
    </row>
    <row r="403" spans="10:11" ht="15.75" x14ac:dyDescent="0.25">
      <c r="J403" s="275" t="s">
        <v>55</v>
      </c>
      <c r="K403" s="258" t="s">
        <v>386</v>
      </c>
    </row>
    <row r="404" spans="10:11" ht="15.75" x14ac:dyDescent="0.25">
      <c r="J404" s="275" t="s">
        <v>55</v>
      </c>
      <c r="K404" s="258" t="s">
        <v>387</v>
      </c>
    </row>
    <row r="405" spans="10:11" ht="15.75" x14ac:dyDescent="0.25">
      <c r="J405" s="275" t="s">
        <v>55</v>
      </c>
      <c r="K405" s="258" t="s">
        <v>388</v>
      </c>
    </row>
    <row r="406" spans="10:11" ht="15.75" x14ac:dyDescent="0.25">
      <c r="J406" s="275" t="s">
        <v>389</v>
      </c>
      <c r="K406" s="258" t="s">
        <v>390</v>
      </c>
    </row>
    <row r="407" spans="10:11" ht="15.75" x14ac:dyDescent="0.25">
      <c r="J407" s="275" t="s">
        <v>396</v>
      </c>
      <c r="K407" s="258" t="s">
        <v>699</v>
      </c>
    </row>
    <row r="408" spans="10:11" ht="15.75" x14ac:dyDescent="0.25">
      <c r="J408" s="275" t="s">
        <v>396</v>
      </c>
      <c r="K408" s="258" t="s">
        <v>397</v>
      </c>
    </row>
    <row r="409" spans="10:11" ht="15.75" x14ac:dyDescent="0.25">
      <c r="J409" s="275" t="s">
        <v>396</v>
      </c>
      <c r="K409" s="258" t="s">
        <v>398</v>
      </c>
    </row>
    <row r="410" spans="10:11" ht="15.75" x14ac:dyDescent="0.25">
      <c r="J410" s="275" t="s">
        <v>396</v>
      </c>
      <c r="K410" s="258" t="s">
        <v>399</v>
      </c>
    </row>
    <row r="411" spans="10:11" ht="15.75" x14ac:dyDescent="0.25">
      <c r="J411" s="275" t="s">
        <v>396</v>
      </c>
      <c r="K411" s="258" t="s">
        <v>400</v>
      </c>
    </row>
    <row r="412" spans="10:11" ht="15.75" x14ac:dyDescent="0.25">
      <c r="J412" s="275" t="s">
        <v>396</v>
      </c>
      <c r="K412" s="258" t="s">
        <v>1598</v>
      </c>
    </row>
    <row r="413" spans="10:11" ht="15.75" x14ac:dyDescent="0.25">
      <c r="J413" s="275" t="s">
        <v>396</v>
      </c>
      <c r="K413" s="258" t="s">
        <v>401</v>
      </c>
    </row>
    <row r="414" spans="10:11" ht="15.75" x14ac:dyDescent="0.25">
      <c r="J414" s="275" t="s">
        <v>396</v>
      </c>
      <c r="K414" s="258" t="s">
        <v>402</v>
      </c>
    </row>
    <row r="415" spans="10:11" ht="15.75" x14ac:dyDescent="0.25">
      <c r="J415" s="275" t="s">
        <v>625</v>
      </c>
      <c r="K415" s="258" t="s">
        <v>403</v>
      </c>
    </row>
    <row r="416" spans="10:11" ht="15.75" x14ac:dyDescent="0.25">
      <c r="J416" s="275" t="s">
        <v>625</v>
      </c>
      <c r="K416" s="258" t="s">
        <v>404</v>
      </c>
    </row>
    <row r="417" spans="10:11" ht="15.75" x14ac:dyDescent="0.25">
      <c r="J417" s="275" t="s">
        <v>625</v>
      </c>
      <c r="K417" s="258" t="s">
        <v>405</v>
      </c>
    </row>
    <row r="418" spans="10:11" ht="15.75" x14ac:dyDescent="0.25">
      <c r="J418" s="275" t="s">
        <v>406</v>
      </c>
      <c r="K418" s="258" t="s">
        <v>407</v>
      </c>
    </row>
    <row r="419" spans="10:11" ht="15.75" x14ac:dyDescent="0.25">
      <c r="J419" s="275" t="s">
        <v>406</v>
      </c>
      <c r="K419" s="258" t="s">
        <v>408</v>
      </c>
    </row>
    <row r="420" spans="10:11" ht="15.75" x14ac:dyDescent="0.25">
      <c r="J420" s="275" t="s">
        <v>121</v>
      </c>
      <c r="K420" s="258" t="s">
        <v>122</v>
      </c>
    </row>
    <row r="421" spans="10:11" ht="15.75" x14ac:dyDescent="0.25">
      <c r="J421" s="275" t="s">
        <v>121</v>
      </c>
      <c r="K421" s="258" t="s">
        <v>123</v>
      </c>
    </row>
    <row r="422" spans="10:11" ht="15.75" x14ac:dyDescent="0.25">
      <c r="J422" s="275" t="s">
        <v>121</v>
      </c>
      <c r="K422" s="258" t="s">
        <v>124</v>
      </c>
    </row>
    <row r="423" spans="10:11" ht="15.75" x14ac:dyDescent="0.25">
      <c r="J423" s="275" t="s">
        <v>121</v>
      </c>
      <c r="K423" s="258" t="s">
        <v>125</v>
      </c>
    </row>
    <row r="424" spans="10:11" ht="15.75" x14ac:dyDescent="0.25">
      <c r="J424" s="275" t="s">
        <v>121</v>
      </c>
      <c r="K424" s="258" t="s">
        <v>700</v>
      </c>
    </row>
    <row r="425" spans="10:11" ht="15.75" x14ac:dyDescent="0.25">
      <c r="J425" s="275" t="s">
        <v>121</v>
      </c>
      <c r="K425" s="258" t="s">
        <v>131</v>
      </c>
    </row>
    <row r="426" spans="10:11" ht="15.75" x14ac:dyDescent="0.25">
      <c r="J426" s="275" t="s">
        <v>121</v>
      </c>
      <c r="K426" s="258" t="s">
        <v>130</v>
      </c>
    </row>
    <row r="427" spans="10:11" ht="15.75" x14ac:dyDescent="0.25">
      <c r="J427" s="275" t="s">
        <v>121</v>
      </c>
      <c r="K427" s="258" t="s">
        <v>127</v>
      </c>
    </row>
    <row r="428" spans="10:11" ht="15.75" x14ac:dyDescent="0.25">
      <c r="J428" s="275" t="s">
        <v>121</v>
      </c>
      <c r="K428" s="258" t="s">
        <v>128</v>
      </c>
    </row>
    <row r="429" spans="10:11" ht="15.75" x14ac:dyDescent="0.25">
      <c r="J429" s="275" t="s">
        <v>121</v>
      </c>
      <c r="K429" s="258" t="s">
        <v>701</v>
      </c>
    </row>
    <row r="430" spans="10:11" ht="15.75" x14ac:dyDescent="0.25">
      <c r="J430" s="275" t="s">
        <v>121</v>
      </c>
      <c r="K430" s="258" t="s">
        <v>132</v>
      </c>
    </row>
    <row r="431" spans="10:11" ht="15.75" x14ac:dyDescent="0.25">
      <c r="J431" s="275" t="s">
        <v>121</v>
      </c>
      <c r="K431" s="258" t="s">
        <v>134</v>
      </c>
    </row>
    <row r="432" spans="10:11" ht="15.75" x14ac:dyDescent="0.25">
      <c r="J432" s="275" t="s">
        <v>121</v>
      </c>
      <c r="K432" s="258" t="s">
        <v>135</v>
      </c>
    </row>
    <row r="433" spans="10:11" ht="15.75" x14ac:dyDescent="0.25">
      <c r="J433" s="275" t="s">
        <v>121</v>
      </c>
      <c r="K433" s="258" t="s">
        <v>702</v>
      </c>
    </row>
    <row r="434" spans="10:11" ht="15.75" x14ac:dyDescent="0.25">
      <c r="J434" s="275" t="s">
        <v>121</v>
      </c>
      <c r="K434" s="258" t="s">
        <v>136</v>
      </c>
    </row>
    <row r="435" spans="10:11" ht="15.75" x14ac:dyDescent="0.25">
      <c r="J435" s="275" t="s">
        <v>121</v>
      </c>
      <c r="K435" s="258" t="s">
        <v>137</v>
      </c>
    </row>
    <row r="436" spans="10:11" ht="15.75" x14ac:dyDescent="0.25">
      <c r="J436" s="275" t="s">
        <v>121</v>
      </c>
      <c r="K436" s="258" t="s">
        <v>138</v>
      </c>
    </row>
    <row r="437" spans="10:11" ht="15.75" x14ac:dyDescent="0.25">
      <c r="J437" s="275" t="s">
        <v>121</v>
      </c>
      <c r="K437" s="258" t="s">
        <v>703</v>
      </c>
    </row>
    <row r="438" spans="10:11" ht="15.75" x14ac:dyDescent="0.25">
      <c r="J438" s="275" t="s">
        <v>121</v>
      </c>
      <c r="K438" s="258" t="s">
        <v>139</v>
      </c>
    </row>
    <row r="439" spans="10:11" ht="15.75" x14ac:dyDescent="0.25">
      <c r="J439" s="275" t="s">
        <v>121</v>
      </c>
      <c r="K439" s="258" t="s">
        <v>140</v>
      </c>
    </row>
    <row r="440" spans="10:11" ht="15.75" x14ac:dyDescent="0.25">
      <c r="J440" s="275" t="s">
        <v>121</v>
      </c>
      <c r="K440" s="258" t="s">
        <v>133</v>
      </c>
    </row>
    <row r="441" spans="10:11" ht="15.75" x14ac:dyDescent="0.25">
      <c r="J441" s="275" t="s">
        <v>121</v>
      </c>
      <c r="K441" s="258" t="s">
        <v>126</v>
      </c>
    </row>
    <row r="442" spans="10:11" ht="15.75" x14ac:dyDescent="0.25">
      <c r="J442" s="275" t="s">
        <v>121</v>
      </c>
      <c r="K442" s="258" t="s">
        <v>129</v>
      </c>
    </row>
    <row r="443" spans="10:11" ht="15.75" x14ac:dyDescent="0.25">
      <c r="J443" s="275" t="s">
        <v>626</v>
      </c>
      <c r="K443" s="258" t="s">
        <v>60</v>
      </c>
    </row>
    <row r="444" spans="10:11" ht="15.75" x14ac:dyDescent="0.25">
      <c r="J444" s="275" t="s">
        <v>626</v>
      </c>
      <c r="K444" s="258" t="s">
        <v>704</v>
      </c>
    </row>
    <row r="445" spans="10:11" ht="15.75" x14ac:dyDescent="0.25">
      <c r="J445" s="275" t="s">
        <v>626</v>
      </c>
      <c r="K445" s="258" t="s">
        <v>705</v>
      </c>
    </row>
    <row r="446" spans="10:11" ht="15.75" x14ac:dyDescent="0.25">
      <c r="J446" s="275" t="s">
        <v>626</v>
      </c>
      <c r="K446" s="258" t="s">
        <v>706</v>
      </c>
    </row>
    <row r="447" spans="10:11" ht="15.75" x14ac:dyDescent="0.25">
      <c r="J447" s="275" t="s">
        <v>53</v>
      </c>
      <c r="K447" s="258" t="s">
        <v>57</v>
      </c>
    </row>
    <row r="448" spans="10:11" ht="15.75" x14ac:dyDescent="0.25">
      <c r="J448" s="275" t="s">
        <v>53</v>
      </c>
      <c r="K448" s="258" t="s">
        <v>56</v>
      </c>
    </row>
    <row r="449" spans="10:11" ht="15.75" x14ac:dyDescent="0.25">
      <c r="J449" s="275" t="s">
        <v>53</v>
      </c>
      <c r="K449" s="258" t="s">
        <v>54</v>
      </c>
    </row>
    <row r="450" spans="10:11" ht="15.75" x14ac:dyDescent="0.25">
      <c r="J450" s="275" t="s">
        <v>627</v>
      </c>
      <c r="K450" s="258" t="s">
        <v>328</v>
      </c>
    </row>
    <row r="451" spans="10:11" ht="15.75" x14ac:dyDescent="0.25">
      <c r="J451" s="275" t="s">
        <v>628</v>
      </c>
      <c r="K451" s="258" t="s">
        <v>707</v>
      </c>
    </row>
    <row r="452" spans="10:11" ht="15.75" x14ac:dyDescent="0.25">
      <c r="J452" s="275" t="s">
        <v>628</v>
      </c>
      <c r="K452" s="258" t="s">
        <v>66</v>
      </c>
    </row>
    <row r="453" spans="10:11" ht="15.75" x14ac:dyDescent="0.25">
      <c r="J453" s="275" t="s">
        <v>58</v>
      </c>
      <c r="K453" s="258" t="s">
        <v>59</v>
      </c>
    </row>
    <row r="454" spans="10:11" ht="15.75" x14ac:dyDescent="0.25">
      <c r="J454" s="275" t="s">
        <v>58</v>
      </c>
      <c r="K454" s="258" t="s">
        <v>60</v>
      </c>
    </row>
    <row r="455" spans="10:11" ht="15.75" x14ac:dyDescent="0.25">
      <c r="J455" s="275" t="s">
        <v>58</v>
      </c>
      <c r="K455" s="258" t="s">
        <v>62</v>
      </c>
    </row>
    <row r="456" spans="10:11" ht="15.75" x14ac:dyDescent="0.25">
      <c r="J456" s="275" t="s">
        <v>58</v>
      </c>
      <c r="K456" s="258" t="s">
        <v>63</v>
      </c>
    </row>
    <row r="457" spans="10:11" ht="15.75" x14ac:dyDescent="0.25">
      <c r="J457" s="275" t="s">
        <v>58</v>
      </c>
      <c r="K457" s="258" t="s">
        <v>64</v>
      </c>
    </row>
    <row r="458" spans="10:11" ht="15.75" x14ac:dyDescent="0.25">
      <c r="J458" s="275" t="s">
        <v>58</v>
      </c>
      <c r="K458" s="258" t="s">
        <v>65</v>
      </c>
    </row>
    <row r="459" spans="10:11" ht="15.75" x14ac:dyDescent="0.25">
      <c r="J459" s="275" t="s">
        <v>58</v>
      </c>
      <c r="K459" s="258" t="s">
        <v>61</v>
      </c>
    </row>
    <row r="460" spans="10:11" ht="15.75" x14ac:dyDescent="0.25">
      <c r="J460" s="275" t="s">
        <v>629</v>
      </c>
      <c r="K460" s="258" t="s">
        <v>424</v>
      </c>
    </row>
    <row r="461" spans="10:11" ht="15.75" x14ac:dyDescent="0.25">
      <c r="J461" s="275" t="s">
        <v>629</v>
      </c>
      <c r="K461" s="258" t="s">
        <v>425</v>
      </c>
    </row>
    <row r="462" spans="10:11" ht="15.75" x14ac:dyDescent="0.25">
      <c r="J462" s="275" t="s">
        <v>629</v>
      </c>
      <c r="K462" s="258" t="s">
        <v>708</v>
      </c>
    </row>
    <row r="463" spans="10:11" ht="15.75" x14ac:dyDescent="0.25">
      <c r="J463" s="275" t="s">
        <v>629</v>
      </c>
      <c r="K463" s="258" t="s">
        <v>426</v>
      </c>
    </row>
    <row r="464" spans="10:11" ht="15.75" x14ac:dyDescent="0.25">
      <c r="J464" s="275" t="s">
        <v>427</v>
      </c>
      <c r="K464" s="258" t="s">
        <v>428</v>
      </c>
    </row>
    <row r="465" spans="10:11" ht="15.75" x14ac:dyDescent="0.25">
      <c r="J465" s="275" t="s">
        <v>630</v>
      </c>
      <c r="K465" s="258" t="s">
        <v>709</v>
      </c>
    </row>
    <row r="466" spans="10:11" ht="15.75" x14ac:dyDescent="0.25">
      <c r="J466" s="275" t="s">
        <v>630</v>
      </c>
      <c r="K466" s="258" t="s">
        <v>710</v>
      </c>
    </row>
    <row r="467" spans="10:11" ht="15.75" x14ac:dyDescent="0.25">
      <c r="J467" s="275" t="s">
        <v>630</v>
      </c>
      <c r="K467" s="258" t="s">
        <v>711</v>
      </c>
    </row>
    <row r="468" spans="10:11" ht="15.75" x14ac:dyDescent="0.25">
      <c r="J468" s="275" t="s">
        <v>630</v>
      </c>
      <c r="K468" s="258" t="s">
        <v>712</v>
      </c>
    </row>
    <row r="469" spans="10:11" ht="15.75" x14ac:dyDescent="0.25">
      <c r="J469" s="275" t="s">
        <v>630</v>
      </c>
      <c r="K469" s="258" t="s">
        <v>713</v>
      </c>
    </row>
    <row r="470" spans="10:11" ht="15.75" x14ac:dyDescent="0.25">
      <c r="J470" s="275" t="s">
        <v>631</v>
      </c>
      <c r="K470" s="258" t="s">
        <v>631</v>
      </c>
    </row>
    <row r="471" spans="10:11" ht="15.75" x14ac:dyDescent="0.25">
      <c r="J471" s="275"/>
      <c r="K471" s="258"/>
    </row>
    <row r="472" spans="10:11" ht="15.75" x14ac:dyDescent="0.25">
      <c r="J472" s="275"/>
      <c r="K472" s="258"/>
    </row>
    <row r="473" spans="10:11" ht="15.75" x14ac:dyDescent="0.25">
      <c r="J473" s="275"/>
      <c r="K473" s="258"/>
    </row>
    <row r="474" spans="10:11" ht="15.75" x14ac:dyDescent="0.25">
      <c r="J474" s="275"/>
      <c r="K474" s="258"/>
    </row>
    <row r="475" spans="10:11" ht="15.75" x14ac:dyDescent="0.25">
      <c r="J475" s="275"/>
      <c r="K475" s="258"/>
    </row>
    <row r="476" spans="10:11" ht="15.75" x14ac:dyDescent="0.25">
      <c r="J476" s="275"/>
      <c r="K476" s="258"/>
    </row>
    <row r="477" spans="10:11" ht="15.75" x14ac:dyDescent="0.25">
      <c r="J477" s="275"/>
      <c r="K477" s="258"/>
    </row>
    <row r="478" spans="10:11" ht="15.75" x14ac:dyDescent="0.25">
      <c r="J478" s="275"/>
      <c r="K478" s="258"/>
    </row>
    <row r="479" spans="10:11" ht="15.75" x14ac:dyDescent="0.25">
      <c r="J479" s="275"/>
      <c r="K479" s="258"/>
    </row>
    <row r="480" spans="10:11" ht="15.75" x14ac:dyDescent="0.25">
      <c r="J480" s="275"/>
      <c r="K480" s="258"/>
    </row>
    <row r="481" spans="10:11" ht="15.75" x14ac:dyDescent="0.25">
      <c r="J481" s="275"/>
      <c r="K481" s="258"/>
    </row>
    <row r="482" spans="10:11" ht="15.75" x14ac:dyDescent="0.25">
      <c r="J482" s="275"/>
      <c r="K482" s="258"/>
    </row>
    <row r="483" spans="10:11" ht="15.75" x14ac:dyDescent="0.25">
      <c r="J483" s="275"/>
      <c r="K483" s="258"/>
    </row>
    <row r="484" spans="10:11" ht="15.75" x14ac:dyDescent="0.25">
      <c r="J484" s="275"/>
      <c r="K484" s="258"/>
    </row>
    <row r="485" spans="10:11" ht="15.75" x14ac:dyDescent="0.25">
      <c r="J485" s="275"/>
      <c r="K485" s="258"/>
    </row>
    <row r="486" spans="10:11" ht="15.75" x14ac:dyDescent="0.25">
      <c r="J486" s="275"/>
      <c r="K486" s="258"/>
    </row>
    <row r="487" spans="10:11" ht="15.75" x14ac:dyDescent="0.25">
      <c r="J487" s="275"/>
      <c r="K487" s="258"/>
    </row>
    <row r="488" spans="10:11" ht="15.75" x14ac:dyDescent="0.25">
      <c r="J488" s="275"/>
      <c r="K488" s="258"/>
    </row>
    <row r="489" spans="10:11" ht="15.75" x14ac:dyDescent="0.25">
      <c r="J489" s="275"/>
      <c r="K489" s="258"/>
    </row>
    <row r="490" spans="10:11" ht="15.75" x14ac:dyDescent="0.25">
      <c r="J490" s="275"/>
      <c r="K490" s="258"/>
    </row>
    <row r="491" spans="10:11" ht="15.75" x14ac:dyDescent="0.25">
      <c r="J491" s="275"/>
      <c r="K491" s="258"/>
    </row>
    <row r="492" spans="10:11" ht="15.75" x14ac:dyDescent="0.25">
      <c r="J492" s="275"/>
      <c r="K492" s="258"/>
    </row>
    <row r="493" spans="10:11" ht="15.75" x14ac:dyDescent="0.25">
      <c r="J493" s="275"/>
      <c r="K493" s="258"/>
    </row>
    <row r="494" spans="10:11" ht="15.75" x14ac:dyDescent="0.25">
      <c r="J494" s="275"/>
      <c r="K494" s="258"/>
    </row>
    <row r="495" spans="10:11" ht="15.75" x14ac:dyDescent="0.25">
      <c r="J495" s="275"/>
      <c r="K495" s="258"/>
    </row>
    <row r="496" spans="10:11" ht="15.75" x14ac:dyDescent="0.25">
      <c r="J496" s="275"/>
      <c r="K496" s="258"/>
    </row>
    <row r="497" spans="10:11" ht="15.75" x14ac:dyDescent="0.25">
      <c r="J497" s="275"/>
      <c r="K497" s="258"/>
    </row>
    <row r="498" spans="10:11" ht="15.75" x14ac:dyDescent="0.25">
      <c r="J498" s="275"/>
      <c r="K498" s="258"/>
    </row>
    <row r="499" spans="10:11" ht="15.75" x14ac:dyDescent="0.25">
      <c r="J499" s="275"/>
      <c r="K499" s="258"/>
    </row>
    <row r="500" spans="10:11" ht="15.75" x14ac:dyDescent="0.25">
      <c r="J500" s="275"/>
      <c r="K500" s="258"/>
    </row>
    <row r="501" spans="10:11" ht="15.75" x14ac:dyDescent="0.25">
      <c r="J501" s="275"/>
      <c r="K501" s="258"/>
    </row>
    <row r="502" spans="10:11" ht="15.75" x14ac:dyDescent="0.25">
      <c r="J502" s="275"/>
      <c r="K502" s="258"/>
    </row>
    <row r="503" spans="10:11" ht="15.75" x14ac:dyDescent="0.25">
      <c r="J503" s="275"/>
      <c r="K503" s="258"/>
    </row>
    <row r="504" spans="10:11" ht="15.75" x14ac:dyDescent="0.25">
      <c r="J504" s="275"/>
      <c r="K504" s="258"/>
    </row>
    <row r="505" spans="10:11" ht="15.75" x14ac:dyDescent="0.25">
      <c r="J505" s="275"/>
      <c r="K505" s="258"/>
    </row>
    <row r="506" spans="10:11" ht="15.75" x14ac:dyDescent="0.25">
      <c r="J506" s="275"/>
      <c r="K506" s="258"/>
    </row>
    <row r="507" spans="10:11" ht="15.75" x14ac:dyDescent="0.25">
      <c r="J507" s="275"/>
      <c r="K507" s="258"/>
    </row>
    <row r="508" spans="10:11" ht="15.75" x14ac:dyDescent="0.25">
      <c r="J508" s="275"/>
      <c r="K508" s="258"/>
    </row>
    <row r="509" spans="10:11" ht="15.75" x14ac:dyDescent="0.25">
      <c r="J509" s="275"/>
      <c r="K509" s="258"/>
    </row>
    <row r="510" spans="10:11" ht="15.75" x14ac:dyDescent="0.25">
      <c r="J510" s="275"/>
      <c r="K510" s="258"/>
    </row>
    <row r="511" spans="10:11" ht="15.75" x14ac:dyDescent="0.25">
      <c r="J511" s="275"/>
      <c r="K511" s="258"/>
    </row>
    <row r="512" spans="10:11" ht="15.75" x14ac:dyDescent="0.25">
      <c r="J512" s="275"/>
      <c r="K512" s="258"/>
    </row>
    <row r="513" spans="10:11" ht="15.75" x14ac:dyDescent="0.25">
      <c r="J513" s="275"/>
      <c r="K513" s="258"/>
    </row>
    <row r="514" spans="10:11" ht="15.75" x14ac:dyDescent="0.25">
      <c r="J514" s="275"/>
      <c r="K514" s="258"/>
    </row>
    <row r="515" spans="10:11" ht="15.75" x14ac:dyDescent="0.25">
      <c r="J515" s="275"/>
      <c r="K515" s="258"/>
    </row>
    <row r="516" spans="10:11" ht="15.75" x14ac:dyDescent="0.25">
      <c r="J516" s="275"/>
      <c r="K516" s="258"/>
    </row>
    <row r="517" spans="10:11" ht="15.75" x14ac:dyDescent="0.25">
      <c r="J517" s="275"/>
      <c r="K517" s="258"/>
    </row>
    <row r="518" spans="10:11" ht="15.75" x14ac:dyDescent="0.25">
      <c r="J518" s="275"/>
      <c r="K518" s="258"/>
    </row>
    <row r="519" spans="10:11" ht="15.75" x14ac:dyDescent="0.25">
      <c r="J519" s="275"/>
      <c r="K519" s="258"/>
    </row>
    <row r="520" spans="10:11" ht="15.75" x14ac:dyDescent="0.25">
      <c r="J520" s="275"/>
      <c r="K520" s="258"/>
    </row>
    <row r="521" spans="10:11" ht="15.75" x14ac:dyDescent="0.25">
      <c r="J521" s="275"/>
      <c r="K521" s="258"/>
    </row>
    <row r="522" spans="10:11" ht="15.75" x14ac:dyDescent="0.25">
      <c r="J522" s="275"/>
      <c r="K522" s="258"/>
    </row>
    <row r="523" spans="10:11" ht="15.75" x14ac:dyDescent="0.25">
      <c r="J523" s="275"/>
      <c r="K523" s="258"/>
    </row>
    <row r="524" spans="10:11" ht="15.75" x14ac:dyDescent="0.25">
      <c r="J524" s="275"/>
      <c r="K524" s="258"/>
    </row>
    <row r="525" spans="10:11" ht="15.75" x14ac:dyDescent="0.25">
      <c r="J525" s="275"/>
      <c r="K525" s="258"/>
    </row>
    <row r="526" spans="10:11" ht="15.75" x14ac:dyDescent="0.25">
      <c r="J526" s="275"/>
      <c r="K526" s="258"/>
    </row>
    <row r="527" spans="10:11" ht="15.75" x14ac:dyDescent="0.25">
      <c r="J527" s="275"/>
      <c r="K527" s="258"/>
    </row>
    <row r="528" spans="10:11" ht="15.75" x14ac:dyDescent="0.25">
      <c r="J528" s="275"/>
      <c r="K528" s="258"/>
    </row>
    <row r="529" spans="10:11" ht="15.75" x14ac:dyDescent="0.25">
      <c r="J529" s="275"/>
      <c r="K529" s="258"/>
    </row>
    <row r="530" spans="10:11" ht="15.75" x14ac:dyDescent="0.25">
      <c r="J530" s="275"/>
      <c r="K530" s="258"/>
    </row>
    <row r="531" spans="10:11" ht="15.75" x14ac:dyDescent="0.25">
      <c r="J531" s="275"/>
      <c r="K531" s="258"/>
    </row>
    <row r="532" spans="10:11" ht="15.75" x14ac:dyDescent="0.25">
      <c r="J532" s="275"/>
      <c r="K532" s="258"/>
    </row>
    <row r="533" spans="10:11" ht="15.75" x14ac:dyDescent="0.25">
      <c r="J533" s="275"/>
      <c r="K533" s="258"/>
    </row>
    <row r="534" spans="10:11" ht="15.75" x14ac:dyDescent="0.25">
      <c r="J534" s="275"/>
      <c r="K534" s="258"/>
    </row>
    <row r="535" spans="10:11" ht="15.75" x14ac:dyDescent="0.25">
      <c r="J535" s="275"/>
      <c r="K535" s="258"/>
    </row>
    <row r="536" spans="10:11" ht="15.75" x14ac:dyDescent="0.25">
      <c r="J536" s="275"/>
      <c r="K536" s="283"/>
    </row>
    <row r="537" spans="10:11" ht="15.75" x14ac:dyDescent="0.25">
      <c r="J537" s="275"/>
      <c r="K537" s="267"/>
    </row>
    <row r="538" spans="10:11" ht="15.75" x14ac:dyDescent="0.25">
      <c r="J538" s="275"/>
      <c r="K538" s="267"/>
    </row>
    <row r="539" spans="10:11" ht="15.75" x14ac:dyDescent="0.25">
      <c r="J539" s="275"/>
      <c r="K539" s="267"/>
    </row>
    <row r="540" spans="10:11" ht="15.75" x14ac:dyDescent="0.25">
      <c r="J540" s="275"/>
      <c r="K540" s="267"/>
    </row>
    <row r="541" spans="10:11" ht="15.75" x14ac:dyDescent="0.25">
      <c r="J541" s="275"/>
      <c r="K541" s="267"/>
    </row>
    <row r="542" spans="10:11" ht="15.75" x14ac:dyDescent="0.25">
      <c r="J542" s="275"/>
      <c r="K542" s="267"/>
    </row>
    <row r="543" spans="10:11" ht="15.75" x14ac:dyDescent="0.25">
      <c r="J543" s="275"/>
      <c r="K543" s="267"/>
    </row>
  </sheetData>
  <sheetProtection algorithmName="SHA-512" hashValue="G63Fk1tDsyk1SzyKrBtaEcSBkVJvfSSrzYoeOvW63sBY4bIQWMQNaSfuvSs2FPRLsu9ErU1iqXZzaUNZ2183mw==" saltValue="rQwqktk/9G6sha1QyYX+lw=="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Крюкля Иван Андреевич</cp:lastModifiedBy>
  <cp:lastPrinted>2017-03-20T11:52:12Z</cp:lastPrinted>
  <dcterms:created xsi:type="dcterms:W3CDTF">2016-10-10T08:58:27Z</dcterms:created>
  <dcterms:modified xsi:type="dcterms:W3CDTF">2017-07-26T04:33:37Z</dcterms:modified>
  <cp:category>Приложение</cp:category>
</cp:coreProperties>
</file>