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charts/chart21.xml" ContentType="application/vnd.openxmlformats-officedocument.drawingml.chart+xml"/>
  <Override PartName="/xl/charts/chart22.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0545" tabRatio="839" activeTab="6"/>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E135" i="5" l="1"/>
  <c r="F142" i="5" l="1"/>
  <c r="AU12" i="24"/>
  <c r="AW12" i="24"/>
  <c r="AX12" i="24"/>
  <c r="AY12" i="24"/>
  <c r="AZ12" i="24"/>
  <c r="BA12" i="24"/>
  <c r="BB12" i="24"/>
  <c r="BC12" i="24"/>
  <c r="BD12" i="24"/>
  <c r="BE12" i="24"/>
  <c r="BF12" i="24"/>
  <c r="BG12" i="24"/>
  <c r="AT12" i="24"/>
  <c r="E12" i="24"/>
  <c r="G12" i="24"/>
  <c r="H12" i="24"/>
  <c r="I12" i="24"/>
  <c r="J12" i="24"/>
  <c r="K12" i="24"/>
  <c r="L12" i="24"/>
  <c r="M12" i="24"/>
  <c r="N12" i="24"/>
  <c r="O12" i="24"/>
  <c r="P12" i="24"/>
  <c r="Q12" i="24"/>
  <c r="D12" i="24"/>
  <c r="F265" i="5" l="1"/>
  <c r="E316" i="5" s="1"/>
  <c r="I265" i="5" l="1"/>
  <c r="E165" i="5"/>
  <c r="F203" i="5" l="1"/>
  <c r="D210" i="5" l="1"/>
  <c r="F202" i="5"/>
  <c r="C207" i="5"/>
  <c r="C206" i="5"/>
  <c r="C208" i="5"/>
  <c r="F305" i="5" l="1"/>
  <c r="F304" i="5"/>
  <c r="E302" i="5"/>
  <c r="D302" i="5"/>
  <c r="C58" i="4"/>
  <c r="E322" i="5" l="1"/>
  <c r="D303" i="5"/>
  <c r="K278" i="5"/>
  <c r="K280" i="5"/>
  <c r="K279" i="5"/>
  <c r="D211" i="5"/>
  <c r="D185" i="5" l="1"/>
  <c r="M122" i="31" s="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C104" i="6" l="1"/>
  <c r="F71" i="5"/>
  <c r="M87" i="31"/>
  <c r="D13" i="5"/>
  <c r="AA9" i="15" l="1"/>
  <c r="D62" i="5"/>
  <c r="E319" i="5" l="1"/>
  <c r="F23" i="5"/>
  <c r="AK23" i="4" l="1"/>
  <c r="C284" i="5" s="1"/>
  <c r="AK22" i="4"/>
  <c r="C283" i="5" s="1"/>
  <c r="AK21" i="4"/>
  <c r="C282" i="5" s="1"/>
  <c r="AK20" i="4"/>
  <c r="C281" i="5" s="1"/>
  <c r="AK19" i="4"/>
  <c r="C280" i="5" s="1"/>
  <c r="AK18" i="4"/>
  <c r="C279" i="5" s="1"/>
  <c r="AK17" i="4"/>
  <c r="C278" i="5" s="1"/>
  <c r="AK16" i="4"/>
  <c r="C277" i="5" s="1"/>
  <c r="AK15" i="4"/>
  <c r="C276" i="5" s="1"/>
  <c r="AK14" i="4"/>
  <c r="C275" i="5" s="1"/>
  <c r="AK13" i="4"/>
  <c r="C274" i="5" s="1"/>
  <c r="AK12" i="4"/>
  <c r="AL24" i="4" s="1"/>
  <c r="C301" i="5"/>
  <c r="C300" i="5"/>
  <c r="C299" i="5"/>
  <c r="C298" i="5"/>
  <c r="C297" i="5"/>
  <c r="C296" i="5"/>
  <c r="C295" i="5"/>
  <c r="C294" i="5"/>
  <c r="C293" i="5"/>
  <c r="C292" i="5"/>
  <c r="C291" i="5"/>
  <c r="C256" i="5"/>
  <c r="C247" i="5"/>
  <c r="C241" i="5"/>
  <c r="C224" i="5"/>
  <c r="B270" i="5"/>
  <c r="B213" i="5"/>
  <c r="E173" i="5"/>
  <c r="E179" i="5"/>
  <c r="E159" i="5"/>
  <c r="C114" i="5"/>
  <c r="C232" i="5"/>
  <c r="F56" i="5"/>
  <c r="I275" i="5" l="1"/>
  <c r="K275" i="5" s="1"/>
  <c r="I276" i="5"/>
  <c r="K276" i="5" s="1"/>
  <c r="I277" i="5"/>
  <c r="K277" i="5" s="1"/>
  <c r="I278" i="5"/>
  <c r="I279" i="5"/>
  <c r="I280" i="5"/>
  <c r="M280" i="5" s="1"/>
  <c r="I281" i="5"/>
  <c r="K281" i="5" s="1"/>
  <c r="I282" i="5"/>
  <c r="K282" i="5" s="1"/>
  <c r="I283" i="5"/>
  <c r="K283" i="5" s="1"/>
  <c r="F206" i="5"/>
  <c r="F208" i="5"/>
  <c r="I284" i="5"/>
  <c r="K284" i="5" s="1"/>
  <c r="M277" i="5"/>
  <c r="J274" i="5"/>
  <c r="G142" i="5" s="1"/>
  <c r="I274" i="5"/>
  <c r="M278" i="5"/>
  <c r="G282" i="5"/>
  <c r="M279" i="5"/>
  <c r="Q253" i="5"/>
  <c r="C220" i="5"/>
  <c r="C237" i="5"/>
  <c r="C260" i="5"/>
  <c r="C218" i="5"/>
  <c r="C222" i="5"/>
  <c r="C228" i="5"/>
  <c r="C239" i="5"/>
  <c r="C243" i="5"/>
  <c r="C254" i="5"/>
  <c r="C258" i="5"/>
  <c r="C264" i="5"/>
  <c r="C219" i="5"/>
  <c r="C221" i="5"/>
  <c r="C223" i="5"/>
  <c r="C225" i="5"/>
  <c r="C238" i="5"/>
  <c r="C246" i="5"/>
  <c r="C261" i="5"/>
  <c r="C227" i="5"/>
  <c r="C242" i="5"/>
  <c r="C244" i="5"/>
  <c r="C255" i="5"/>
  <c r="C257" i="5"/>
  <c r="C263" i="5"/>
  <c r="C217" i="5"/>
  <c r="C273" i="5"/>
  <c r="I273" i="5" s="1"/>
  <c r="K273" i="5" s="1"/>
  <c r="E172" i="5"/>
  <c r="C226" i="5"/>
  <c r="C245" i="5"/>
  <c r="C262" i="5"/>
  <c r="C259" i="5"/>
  <c r="C240" i="5"/>
  <c r="C236" i="5"/>
  <c r="C253" i="5"/>
  <c r="C290" i="5"/>
  <c r="F76" i="5"/>
  <c r="G277" i="5" l="1"/>
  <c r="G276" i="5"/>
  <c r="M276" i="5"/>
  <c r="G280" i="5"/>
  <c r="C133" i="5"/>
  <c r="M281" i="5"/>
  <c r="F209" i="5"/>
  <c r="G281" i="5"/>
  <c r="R253" i="5"/>
  <c r="G279" i="5"/>
  <c r="M284" i="5"/>
  <c r="M282" i="5"/>
  <c r="G284" i="5"/>
  <c r="G278" i="5"/>
  <c r="G283" i="5"/>
  <c r="M283" i="5"/>
  <c r="M274" i="5"/>
  <c r="K274" i="5"/>
  <c r="G274" i="5"/>
  <c r="G273" i="5"/>
  <c r="M273" i="5"/>
  <c r="C74" i="4"/>
  <c r="B33" i="8"/>
  <c r="E229" i="5"/>
  <c r="E64" i="35" l="1"/>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63" i="5"/>
  <c r="Q261" i="5"/>
  <c r="Q259" i="5"/>
  <c r="Q257" i="5"/>
  <c r="Q255"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AZ21" i="15"/>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H91" i="33"/>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H92" i="33"/>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F17" i="15"/>
  <c r="C71" i="30" s="1"/>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G20" i="24"/>
  <c r="BF20" i="24"/>
  <c r="BE20" i="24"/>
  <c r="BD20" i="24"/>
  <c r="BC20" i="24"/>
  <c r="BB20" i="24"/>
  <c r="BA20" i="24"/>
  <c r="AZ20" i="24"/>
  <c r="AX20" i="24"/>
  <c r="AW20" i="24"/>
  <c r="AT20" i="24"/>
  <c r="D20" i="24"/>
  <c r="G20" i="24"/>
  <c r="H20" i="24"/>
  <c r="J20" i="24"/>
  <c r="K20" i="24"/>
  <c r="L20" i="24"/>
  <c r="M20" i="24"/>
  <c r="N20" i="24"/>
  <c r="O20" i="24"/>
  <c r="P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J13" i="15"/>
  <c r="H13" i="15" s="1"/>
  <c r="BB5" i="15" s="1"/>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J78" i="15" l="1"/>
  <c r="H78" i="15" s="1"/>
  <c r="BB7" i="15" s="1"/>
  <c r="AV7" i="15"/>
  <c r="AW7" i="15" s="1"/>
  <c r="L314" i="25"/>
  <c r="L314" i="27" s="1"/>
  <c r="AN57" i="24"/>
  <c r="L419" i="25" s="1"/>
  <c r="AE78" i="15"/>
  <c r="Z78" i="15"/>
  <c r="Q78" i="15"/>
  <c r="A16" i="15"/>
  <c r="AB17" i="15"/>
  <c r="J17" i="15" s="1"/>
  <c r="AB16" i="15"/>
  <c r="AV6" i="15" s="1"/>
  <c r="H17" i="15" l="1"/>
  <c r="BB6" i="15" s="1"/>
  <c r="BB33" i="15"/>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J37" i="15"/>
  <c r="H37" i="15" s="1"/>
  <c r="BB16" i="15" s="1"/>
  <c r="A51" i="15" l="1"/>
  <c r="AD51" i="15" s="1"/>
  <c r="A57" i="15"/>
  <c r="AD57" i="15" s="1"/>
  <c r="A46" i="15"/>
  <c r="AD46" i="15" s="1"/>
  <c r="A58" i="15"/>
  <c r="AD58" i="15" s="1"/>
  <c r="F13" i="5" l="1"/>
  <c r="F12" i="5" l="1"/>
  <c r="F74" i="5" l="1"/>
  <c r="H36" i="15" l="1"/>
  <c r="BB15" i="15" s="1"/>
  <c r="H26" i="15"/>
  <c r="BB12" i="15" s="1"/>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J60" i="15" s="1"/>
  <c r="H60" i="15" s="1"/>
  <c r="BB25" i="15" s="1"/>
  <c r="E76" i="18"/>
  <c r="D76" i="18"/>
  <c r="AA54" i="15"/>
  <c r="Z60" i="15" l="1"/>
  <c r="AV25" i="15"/>
  <c r="A54" i="15"/>
  <c r="AD54" i="15" s="1"/>
  <c r="AB54" i="15"/>
  <c r="J54" i="15" s="1"/>
  <c r="H54" i="15" s="1"/>
  <c r="BB22" i="15" s="1"/>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J40" i="15"/>
  <c r="H40" i="15" l="1"/>
  <c r="BB18" i="15" s="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E314" i="5" s="1"/>
  <c r="F16" i="14"/>
  <c r="I7" i="11"/>
  <c r="B16" i="11"/>
  <c r="F314" i="5" l="1"/>
  <c r="E169" i="5"/>
  <c r="Q106" i="6"/>
  <c r="C146" i="5"/>
  <c r="AA41" i="15"/>
  <c r="AB41" i="15" s="1"/>
  <c r="G13" i="14"/>
  <c r="F14" i="14" s="1"/>
  <c r="B11" i="14" s="1"/>
  <c r="S63" i="18"/>
  <c r="O63" i="18" s="1"/>
  <c r="P20" i="18"/>
  <c r="AV19" i="15" l="1"/>
  <c r="J41" i="15"/>
  <c r="H41" i="15" s="1"/>
  <c r="BB19" i="15" s="1"/>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J9" i="15" s="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J75" i="15"/>
  <c r="H75" i="15" s="1"/>
  <c r="BB28" i="15" s="1"/>
  <c r="A63" i="15"/>
  <c r="AV30" i="15" l="1"/>
  <c r="Q80" i="15"/>
  <c r="Z80" i="15"/>
  <c r="J76" i="15"/>
  <c r="H76" i="15" s="1"/>
  <c r="BB29" i="15" s="1"/>
  <c r="Z76" i="15"/>
  <c r="Q76" i="15"/>
  <c r="J39" i="15"/>
  <c r="H39" i="15" s="1"/>
  <c r="BB17" i="15" s="1"/>
  <c r="Z39" i="15"/>
  <c r="C35" i="15"/>
  <c r="J34" i="15"/>
  <c r="H34" i="15" s="1"/>
  <c r="BB14" i="15" s="1"/>
  <c r="J80" i="15"/>
  <c r="H80" i="15" s="1"/>
  <c r="BB30" i="15" s="1"/>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AX30" i="15" l="1"/>
  <c r="AW30" i="15"/>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N37" i="18" l="1"/>
  <c r="F76" i="18"/>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F22" i="15" s="1"/>
  <c r="B141" i="6"/>
  <c r="G76" i="5"/>
  <c r="C138" i="6"/>
  <c r="F15" i="15"/>
  <c r="J15" i="15" s="1"/>
  <c r="H15" i="15" s="1"/>
  <c r="BB10" i="15" s="1"/>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218" i="33"/>
  <c r="Q218" i="33" s="1"/>
  <c r="K214" i="33"/>
  <c r="Q214" i="33" s="1"/>
  <c r="K210" i="33"/>
  <c r="Q210" i="33" s="1"/>
  <c r="K206" i="33"/>
  <c r="Q206" i="33" s="1"/>
  <c r="K202" i="33"/>
  <c r="Q202" i="33" s="1"/>
  <c r="K198" i="33"/>
  <c r="Q198" i="33" s="1"/>
  <c r="K193" i="33"/>
  <c r="Q193"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J17" i="33"/>
  <c r="K194" i="33"/>
  <c r="Q194" i="33" s="1"/>
  <c r="B145" i="6"/>
  <c r="M48" i="31"/>
  <c r="M54" i="31"/>
  <c r="G70" i="5"/>
  <c r="M47" i="31" s="1"/>
  <c r="F29" i="15"/>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208" i="33"/>
  <c r="L200" i="33"/>
  <c r="L216" i="33"/>
  <c r="L206" i="33"/>
  <c r="L198" i="33"/>
  <c r="L214" i="33"/>
  <c r="L202" i="33"/>
  <c r="L210" i="33"/>
  <c r="L218" i="33"/>
  <c r="L205" i="33"/>
  <c r="L197" i="33"/>
  <c r="L213" i="33"/>
  <c r="L201" i="33"/>
  <c r="L209" i="33"/>
  <c r="L217" i="33"/>
  <c r="L195" i="33"/>
  <c r="L199" i="33"/>
  <c r="L203" i="33"/>
  <c r="L207" i="33"/>
  <c r="L211" i="33"/>
  <c r="L215" i="33"/>
  <c r="L219" i="33"/>
  <c r="L194"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R168" i="20" s="1"/>
  <c r="H170" i="6"/>
  <c r="H168" i="20" s="1"/>
  <c r="M170" i="6"/>
  <c r="M168" i="20" s="1"/>
  <c r="G170" i="6"/>
  <c r="G168" i="20" s="1"/>
  <c r="L170" i="6"/>
  <c r="L168" i="20" s="1"/>
  <c r="Q170" i="6"/>
  <c r="Q168" i="20" s="1"/>
  <c r="L237" i="5"/>
  <c r="G236" i="5" s="1"/>
  <c r="H11" i="8"/>
  <c r="D15" i="8" s="1"/>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L223" i="5" l="1"/>
  <c r="L222" i="5"/>
  <c r="L224" i="5"/>
  <c r="L221" i="5"/>
  <c r="K218" i="5"/>
  <c r="J218" i="5" s="1"/>
  <c r="K221" i="5"/>
  <c r="J221" i="5" s="1"/>
  <c r="K227" i="5"/>
  <c r="J227" i="5" s="1"/>
  <c r="K222" i="5"/>
  <c r="J222" i="5" s="1"/>
  <c r="K225" i="5"/>
  <c r="J225" i="5" s="1"/>
  <c r="K226" i="5"/>
  <c r="J226" i="5" s="1"/>
  <c r="K217" i="5"/>
  <c r="K228" i="5"/>
  <c r="J228" i="5" s="1"/>
  <c r="K220" i="5"/>
  <c r="J220" i="5" s="1"/>
  <c r="K223" i="5"/>
  <c r="J223" i="5" s="1"/>
  <c r="K224" i="5"/>
  <c r="J224" i="5" s="1"/>
  <c r="I236" i="5"/>
  <c r="L4" i="15" s="1"/>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1" i="35" l="1"/>
  <c r="G11" i="35" s="1"/>
  <c r="D25" i="35"/>
  <c r="G25" i="35" s="1"/>
  <c r="D28" i="35"/>
  <c r="G28"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I220" i="5" s="1"/>
  <c r="AS2" i="2"/>
  <c r="AM2" i="2"/>
  <c r="D274" i="5" s="1"/>
  <c r="AH2" i="2"/>
  <c r="F284" i="5" s="1"/>
  <c r="I228" i="5" s="1"/>
  <c r="AC2" i="2"/>
  <c r="W2" i="2"/>
  <c r="D282" i="5" s="1"/>
  <c r="R2" i="2"/>
  <c r="F280" i="5" s="1"/>
  <c r="I224" i="5" s="1"/>
  <c r="K2" i="2"/>
  <c r="D279" i="5" s="1"/>
  <c r="AY2" i="2"/>
  <c r="D277" i="5" s="1"/>
  <c r="AI2" i="2"/>
  <c r="D273" i="5" s="1"/>
  <c r="S2" i="2"/>
  <c r="D281" i="5" s="1"/>
  <c r="F2" i="2"/>
  <c r="D285" i="5" s="1"/>
  <c r="BB2" i="2"/>
  <c r="AW2" i="2"/>
  <c r="AQ2" i="2"/>
  <c r="D275" i="5" s="1"/>
  <c r="AL2" i="2"/>
  <c r="F273" i="5" s="1"/>
  <c r="I217" i="5" s="1"/>
  <c r="AG2" i="2"/>
  <c r="AA2" i="2"/>
  <c r="D283" i="5" s="1"/>
  <c r="V2" i="2"/>
  <c r="F281" i="5" s="1"/>
  <c r="I225" i="5" s="1"/>
  <c r="Q2" i="2"/>
  <c r="BE2" i="2"/>
  <c r="AO2" i="2"/>
  <c r="Y2" i="2"/>
  <c r="E2" i="2"/>
  <c r="F11" i="5" s="1"/>
  <c r="BF2" i="2"/>
  <c r="F278" i="5" s="1"/>
  <c r="BA2" i="2"/>
  <c r="AU2" i="2"/>
  <c r="D276" i="5" s="1"/>
  <c r="AP2" i="2"/>
  <c r="F274" i="5" s="1"/>
  <c r="I218" i="5" s="1"/>
  <c r="AK2" i="2"/>
  <c r="AE2" i="2"/>
  <c r="D284" i="5" s="1"/>
  <c r="Z2" i="2"/>
  <c r="F282" i="5" s="1"/>
  <c r="I226" i="5" s="1"/>
  <c r="U2" i="2"/>
  <c r="O2" i="2"/>
  <c r="D280" i="5" s="1"/>
  <c r="AD2" i="2"/>
  <c r="F283" i="5" s="1"/>
  <c r="I227"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H278" i="5" l="1"/>
  <c r="Z36" i="6" s="1"/>
  <c r="Z13" i="6" s="1"/>
  <c r="I222" i="5"/>
  <c r="T254" i="5"/>
  <c r="T256" i="5"/>
  <c r="T258" i="5"/>
  <c r="T260" i="5"/>
  <c r="S260" i="5" s="1"/>
  <c r="T262" i="5"/>
  <c r="T264" i="5"/>
  <c r="T255" i="5"/>
  <c r="T257" i="5"/>
  <c r="T259" i="5"/>
  <c r="T261" i="5"/>
  <c r="T263" i="5"/>
  <c r="T253" i="5"/>
  <c r="F277"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C141" i="6" s="1"/>
  <c r="B50" i="11"/>
  <c r="B48" i="11"/>
  <c r="C2" i="2"/>
  <c r="J2" i="2"/>
  <c r="M475" i="2"/>
  <c r="N475" i="2" s="1"/>
  <c r="J475" i="2"/>
  <c r="Z35" i="6" l="1"/>
  <c r="Z12" i="6" s="1"/>
  <c r="Z9" i="6" s="1"/>
  <c r="Z10" i="6" s="1"/>
  <c r="Z74" i="6"/>
  <c r="H277" i="5"/>
  <c r="W36" i="6" s="1"/>
  <c r="W13" i="6" s="1"/>
  <c r="I221" i="5"/>
  <c r="AA59" i="6"/>
  <c r="AA60" i="6" s="1"/>
  <c r="Y20" i="24"/>
  <c r="H280" i="5"/>
  <c r="AF36" i="6" s="1"/>
  <c r="AF13" i="6" s="1"/>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O22" i="15"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O69" i="15"/>
  <c r="Z69" i="15"/>
  <c r="A62" i="15"/>
  <c r="J69" i="15"/>
  <c r="H69" i="15" s="1"/>
  <c r="BB27" i="15" s="1"/>
  <c r="AE69" i="15"/>
  <c r="AA31" i="15"/>
  <c r="AA30" i="15"/>
  <c r="A30" i="15" s="1"/>
  <c r="AD30" i="15" s="1"/>
  <c r="AE26" i="15"/>
  <c r="D161" i="20"/>
  <c r="D141" i="20" s="1"/>
  <c r="B141" i="20"/>
  <c r="O26" i="15" s="1"/>
  <c r="A26" i="15"/>
  <c r="AD26" i="15" s="1"/>
  <c r="AE22" i="15"/>
  <c r="J22" i="15"/>
  <c r="H22" i="15" s="1"/>
  <c r="BB11" i="15" s="1"/>
  <c r="J29" i="15"/>
  <c r="H29" i="15" s="1"/>
  <c r="BB13" i="15" s="1"/>
  <c r="AE29" i="15"/>
  <c r="C95" i="6"/>
  <c r="J11" i="11"/>
  <c r="J10" i="11"/>
  <c r="C142" i="6"/>
  <c r="C142" i="20" s="1"/>
  <c r="C141" i="20"/>
  <c r="C144" i="6"/>
  <c r="F69" i="15"/>
  <c r="B140" i="20"/>
  <c r="Z76" i="18"/>
  <c r="D175" i="6"/>
  <c r="D173" i="6"/>
  <c r="C52" i="10" s="1"/>
  <c r="C58" i="10" s="1"/>
  <c r="C64" i="10" s="1"/>
  <c r="S261" i="5"/>
  <c r="P260" i="5"/>
  <c r="I32" i="11"/>
  <c r="K32" i="11" s="1"/>
  <c r="I63" i="5"/>
  <c r="F13" i="15" s="1"/>
  <c r="D179" i="20"/>
  <c r="D152" i="20"/>
  <c r="F150" i="20" s="1"/>
  <c r="B137" i="20"/>
  <c r="D151" i="6"/>
  <c r="D150" i="6" s="1"/>
  <c r="D151" i="20"/>
  <c r="D150" i="20" s="1"/>
  <c r="C137" i="6"/>
  <c r="C137" i="20" s="1"/>
  <c r="B45" i="11"/>
  <c r="B51" i="11"/>
  <c r="C143" i="6" s="1"/>
  <c r="C143" i="20" s="1"/>
  <c r="D160" i="6"/>
  <c r="D160" i="20" s="1"/>
  <c r="N2" i="2"/>
  <c r="W74" i="6" l="1"/>
  <c r="W35" i="6"/>
  <c r="W12" i="6" s="1"/>
  <c r="W9" i="6" s="1"/>
  <c r="W10" i="6" s="1"/>
  <c r="AF74" i="6"/>
  <c r="F279" i="5"/>
  <c r="I223" i="5" s="1"/>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H279" i="5" l="1"/>
  <c r="AC36" i="6" s="1"/>
  <c r="D33" i="35"/>
  <c r="D34" i="35" s="1"/>
  <c r="D35" i="35"/>
  <c r="D36" i="35" s="1"/>
  <c r="D62" i="35"/>
  <c r="D63" i="35" s="1"/>
  <c r="C42" i="35" s="1"/>
  <c r="D64" i="35"/>
  <c r="D65" i="35" s="1"/>
  <c r="Y26" i="24"/>
  <c r="F159" i="31"/>
  <c r="C159" i="31"/>
  <c r="J159" i="31"/>
  <c r="B143" i="6"/>
  <c r="L56" i="6" s="1"/>
  <c r="L57" i="6" s="1"/>
  <c r="M59" i="31"/>
  <c r="P40" i="15"/>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F64" i="15"/>
  <c r="J64" i="15" s="1"/>
  <c r="H64" i="15" s="1"/>
  <c r="BB26" i="15" s="1"/>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H315" i="27" s="1"/>
  <c r="I315" i="27" s="1"/>
  <c r="AN48" i="24"/>
  <c r="AC48" i="24"/>
  <c r="AK48" i="24"/>
  <c r="E137" i="20"/>
  <c r="F137" i="20" s="1"/>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O20" i="15"/>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E143" i="20" l="1"/>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AC108" i="20"/>
  <c r="U18" i="20"/>
  <c r="Q172" i="20"/>
  <c r="Y18" i="20"/>
  <c r="S253" i="5"/>
  <c r="P253" i="5" s="1"/>
  <c r="AA100" i="20"/>
  <c r="G167" i="20"/>
  <c r="G171" i="20" s="1"/>
  <c r="AC113" i="20"/>
  <c r="AD114" i="20" s="1"/>
  <c r="S254" i="5"/>
  <c r="P264" i="5"/>
  <c r="R171" i="20"/>
  <c r="R173" i="20"/>
  <c r="AE71" i="20"/>
  <c r="AF71" i="20" s="1"/>
  <c r="O64" i="10"/>
  <c r="E55" i="10"/>
  <c r="E52" i="10" s="1"/>
  <c r="E58" i="10" s="1"/>
  <c r="N427" i="27" l="1"/>
  <c r="N424" i="27"/>
  <c r="N428" i="27"/>
  <c r="N425" i="27"/>
  <c r="N429" i="27"/>
  <c r="N426" i="27"/>
  <c r="N430" i="27"/>
  <c r="L72" i="27" s="1"/>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Z253" i="5"/>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G28" i="27" l="1"/>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E108" i="20" s="1"/>
  <c r="AK14" i="6"/>
  <c r="AK17" i="6"/>
  <c r="AK8" i="6"/>
  <c r="AK11" i="6"/>
  <c r="AK7" i="6"/>
  <c r="AD264" i="5"/>
  <c r="AE264" i="5"/>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F316" i="5"/>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D107" i="20" l="1"/>
  <c r="Y265" i="5"/>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l="1"/>
  <c r="AF102" i="20"/>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O39" i="15" l="1"/>
  <c r="S35" i="20"/>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F9" i="15"/>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F12" i="15"/>
  <c r="J12" i="15" s="1"/>
  <c r="H12" i="15" s="1"/>
  <c r="BB9" i="15" s="1"/>
  <c r="E146" i="6"/>
  <c r="F146" i="6" s="1"/>
  <c r="C39" i="30" s="1"/>
  <c r="F136" i="6"/>
  <c r="C42" i="6"/>
  <c r="C38" i="6"/>
  <c r="B146" i="20"/>
  <c r="H9" i="15" l="1"/>
  <c r="BB8" i="15" s="1"/>
  <c r="M159" i="31" s="1"/>
  <c r="U71" i="6"/>
  <c r="V71" i="6" s="1"/>
  <c r="V72" i="6" s="1"/>
  <c r="C46" i="6"/>
  <c r="AA39" i="6"/>
  <c r="AG39" i="6"/>
  <c r="AD71" i="6"/>
  <c r="AE71" i="6" s="1"/>
  <c r="AE72" i="6" s="1"/>
  <c r="X71" i="6"/>
  <c r="Y71" i="6" s="1"/>
  <c r="Z71" i="6" s="1"/>
  <c r="Z72" i="6" s="1"/>
  <c r="O12" i="15"/>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AE36" i="15" l="1"/>
  <c r="A37" i="15"/>
  <c r="AD37" i="15" s="1"/>
  <c r="A33" i="15" s="1"/>
  <c r="AB50" i="15" l="1"/>
  <c r="J50" i="15" s="1"/>
  <c r="H50" i="15" s="1"/>
  <c r="Z50" i="15" l="1"/>
  <c r="AB45" i="15"/>
  <c r="J45" i="15" s="1"/>
  <c r="H45" i="15" s="1"/>
  <c r="Q50" i="15"/>
  <c r="X50" i="15" s="1"/>
  <c r="Y50" i="15" s="1"/>
  <c r="Z45" i="15" l="1"/>
  <c r="AE44" i="15"/>
  <c r="Q45" i="15"/>
  <c r="X45" i="15" s="1"/>
  <c r="Y45" i="15" s="1"/>
  <c r="AB51" i="15"/>
  <c r="J51" i="15" s="1"/>
  <c r="H51" i="15" s="1"/>
  <c r="Z51" i="15" l="1"/>
  <c r="AB46" i="15"/>
  <c r="J46" i="15" s="1"/>
  <c r="H46" i="15" s="1"/>
  <c r="Z46" i="15" l="1"/>
  <c r="M65" i="10"/>
  <c r="I65" i="10"/>
  <c r="R111" i="20" s="1"/>
  <c r="H65" i="10"/>
  <c r="P111" i="20" s="1"/>
  <c r="J65" i="10"/>
  <c r="K65" i="10"/>
  <c r="V111" i="20" s="1"/>
  <c r="L65" i="10"/>
  <c r="X111" i="20" s="1"/>
  <c r="G65" i="10"/>
  <c r="N111" i="20" s="1"/>
  <c r="E65" i="10"/>
  <c r="N65" i="10"/>
  <c r="AB111" i="20" s="1"/>
  <c r="O65" i="10"/>
  <c r="D111" i="20"/>
  <c r="Q51" i="15" s="1"/>
  <c r="X51" i="15" s="1"/>
  <c r="Y51" i="15" s="1"/>
  <c r="Z111" i="20"/>
  <c r="Q46" i="15"/>
  <c r="X46" i="15" s="1"/>
  <c r="Y46" i="15" s="1"/>
  <c r="P65" i="10"/>
  <c r="AF111" i="20" s="1"/>
  <c r="T111" i="20"/>
  <c r="AD111" i="20"/>
  <c r="F65" i="10"/>
  <c r="L111" i="20" s="1"/>
  <c r="J111" i="20"/>
  <c r="AA49" i="15" l="1"/>
  <c r="AB52" i="15"/>
  <c r="J52" i="15" s="1"/>
  <c r="H52" i="15" s="1"/>
  <c r="H49" i="15" s="1"/>
  <c r="BB21" i="15" s="1"/>
  <c r="AB47" i="15"/>
  <c r="AV20" i="15" l="1"/>
  <c r="AX20" i="15" s="1"/>
  <c r="J47" i="15"/>
  <c r="H47" i="15" s="1"/>
  <c r="H44" i="15" s="1"/>
  <c r="BB20" i="15" s="1"/>
  <c r="Z52" i="15"/>
  <c r="AV21" i="15"/>
  <c r="AX28" i="15" s="1"/>
  <c r="AB44" i="15"/>
  <c r="J44" i="15" s="1"/>
  <c r="Z47" i="15"/>
  <c r="Q47" i="15"/>
  <c r="X47" i="15" s="1"/>
  <c r="Y47" i="15" s="1"/>
  <c r="Y44" i="15" s="1"/>
  <c r="N19" i="33" s="1"/>
  <c r="D112" i="20"/>
  <c r="Q52" i="15"/>
  <c r="X52" i="15" s="1"/>
  <c r="Y52" i="15" s="1"/>
  <c r="Y54" i="15" s="1"/>
  <c r="N21" i="33" s="1"/>
  <c r="AB49" i="15"/>
  <c r="AA44" i="15"/>
  <c r="AW20" i="15" l="1"/>
  <c r="AE49" i="15"/>
  <c r="J49" i="15"/>
  <c r="AX29" i="15"/>
  <c r="AW29" i="15"/>
  <c r="AW28" i="15"/>
  <c r="AX21" i="15"/>
  <c r="AW21" i="15"/>
  <c r="A44" i="15"/>
  <c r="AD44" i="15" s="1"/>
  <c r="A38" i="15" s="1"/>
  <c r="X112" i="20"/>
  <c r="R112" i="20"/>
  <c r="AF112" i="20"/>
  <c r="AD112" i="20"/>
  <c r="L112" i="20"/>
  <c r="Z112" i="20"/>
  <c r="AB112" i="20"/>
  <c r="T112" i="20"/>
  <c r="J112" i="20"/>
  <c r="N112" i="20"/>
  <c r="V112" i="20"/>
  <c r="P112" i="20"/>
  <c r="Y49" i="15"/>
  <c r="N20" i="33" s="1"/>
  <c r="A49" i="15"/>
  <c r="AB57" i="15" l="1"/>
  <c r="J57" i="15" s="1"/>
  <c r="H57" i="15" s="1"/>
  <c r="BB23" i="15" s="1"/>
  <c r="Z57" i="15" l="1"/>
  <c r="AV23" i="15"/>
  <c r="Q57" i="15"/>
  <c r="X57" i="15" s="1"/>
  <c r="Y57" i="15" s="1"/>
  <c r="AB58" i="15"/>
  <c r="AE57" i="15"/>
  <c r="D106" i="20" l="1"/>
  <c r="J106" i="20" s="1"/>
  <c r="L106" i="20" s="1"/>
  <c r="N106" i="20" s="1"/>
  <c r="P106" i="20" s="1"/>
  <c r="R106" i="20" s="1"/>
  <c r="T106" i="20" s="1"/>
  <c r="V106" i="20" s="1"/>
  <c r="X106" i="20" s="1"/>
  <c r="Z106" i="20" s="1"/>
  <c r="AB106" i="20" s="1"/>
  <c r="AD106" i="20" s="1"/>
  <c r="AF106" i="20" s="1"/>
  <c r="J58" i="15"/>
  <c r="H58" i="15" s="1"/>
  <c r="BB24" i="15" s="1"/>
  <c r="N22" i="33"/>
  <c r="AX23" i="15"/>
  <c r="AW23" i="15"/>
  <c r="Z58" i="15"/>
  <c r="C50" i="4" s="1"/>
  <c r="AV24" i="15"/>
  <c r="AW26" i="15" s="1"/>
  <c r="AD6" i="15"/>
  <c r="A6" i="15"/>
  <c r="A56" i="15"/>
  <c r="Q58" i="15"/>
  <c r="AE58" i="15"/>
  <c r="AW24" i="15" l="1"/>
  <c r="AX24" i="15"/>
  <c r="BB32" i="15"/>
  <c r="AX26" i="15"/>
  <c r="J160" i="31" s="1"/>
  <c r="X58" i="15"/>
  <c r="Y58" i="15" s="1"/>
  <c r="Q56" i="15"/>
  <c r="J107" i="20"/>
  <c r="C52" i="4"/>
  <c r="N23" i="33" l="1"/>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I81" i="33" s="1"/>
  <c r="L107" i="20"/>
  <c r="I34" i="33" l="1"/>
  <c r="Y56" i="15"/>
  <c r="N107" i="20"/>
  <c r="P107" i="20" l="1"/>
  <c r="R107" i="20" l="1"/>
  <c r="T107" i="20" l="1"/>
  <c r="V107" i="20" l="1"/>
  <c r="X107" i="20" l="1"/>
  <c r="Z107" i="20" l="1"/>
  <c r="AB107" i="20" l="1"/>
  <c r="AD107" i="20" l="1"/>
  <c r="AF107" i="20" l="1"/>
  <c r="H18" i="33" l="1"/>
  <c r="J16" i="33"/>
  <c r="H86" i="33" l="1"/>
  <c r="H88" i="33" s="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E167" i="33" l="1"/>
  <c r="I167" i="33" s="1"/>
  <c r="J167" i="33" s="1"/>
  <c r="K167" i="33" l="1"/>
  <c r="Q167" i="33" s="1"/>
  <c r="F167" i="33"/>
  <c r="L167" i="33" l="1"/>
  <c r="H167" i="33"/>
  <c r="E168" i="33" l="1"/>
  <c r="F168" i="33" l="1"/>
  <c r="H168" i="33" s="1"/>
  <c r="E169" i="33" s="1"/>
  <c r="I169" i="33" s="1"/>
  <c r="K168" i="33"/>
  <c r="Q168" i="33" s="1"/>
  <c r="I168" i="33"/>
  <c r="J168" i="33" s="1"/>
  <c r="L168" i="33" l="1"/>
  <c r="M157" i="33" s="1"/>
  <c r="M158" i="33" s="1"/>
  <c r="J169" i="33"/>
  <c r="K169" i="33"/>
  <c r="Q169" i="33" s="1"/>
  <c r="F169" i="33"/>
  <c r="L169" i="33" l="1"/>
  <c r="N157" i="33"/>
  <c r="N158" i="33" s="1"/>
  <c r="M159" i="33"/>
  <c r="M160" i="33" s="1"/>
  <c r="M161" i="33" s="1"/>
  <c r="M162" i="33" s="1"/>
  <c r="M163" i="33" s="1"/>
  <c r="M164" i="33" s="1"/>
  <c r="M165" i="33" s="1"/>
  <c r="M166" i="33" s="1"/>
  <c r="M167" i="33" s="1"/>
  <c r="M168" i="33" s="1"/>
  <c r="H169"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I120" i="33" l="1"/>
  <c r="J180" i="33"/>
  <c r="F180" i="33"/>
  <c r="H180" i="33" s="1"/>
  <c r="K180" i="33"/>
  <c r="Q180" i="33" s="1"/>
  <c r="E181" i="33" l="1"/>
  <c r="J181" i="33" s="1"/>
  <c r="D181" i="33"/>
  <c r="L180" i="33"/>
  <c r="M169" i="33" s="1"/>
  <c r="M170" i="33" s="1"/>
  <c r="M171" i="33" s="1"/>
  <c r="M172" i="33" s="1"/>
  <c r="M173" i="33" s="1"/>
  <c r="M174" i="33" s="1"/>
  <c r="M175" i="33" s="1"/>
  <c r="M176" i="33" s="1"/>
  <c r="M177" i="33" s="1"/>
  <c r="M178" i="33" s="1"/>
  <c r="M179" i="33" s="1"/>
  <c r="M180" i="33" s="1"/>
  <c r="F181" i="33" l="1"/>
  <c r="H181" i="33" s="1"/>
  <c r="E182" i="33" s="1"/>
  <c r="J182" i="33" s="1"/>
  <c r="K181" i="33"/>
  <c r="Q181" i="33" s="1"/>
  <c r="N169" i="33"/>
  <c r="N170" i="33" s="1"/>
  <c r="N171" i="33" s="1"/>
  <c r="N172" i="33" s="1"/>
  <c r="N173" i="33" s="1"/>
  <c r="N174" i="33" s="1"/>
  <c r="N175" i="33" s="1"/>
  <c r="N176" i="33" s="1"/>
  <c r="N177" i="33" s="1"/>
  <c r="N178" i="33" s="1"/>
  <c r="N179" i="33" s="1"/>
  <c r="N180" i="33" s="1"/>
  <c r="D182" i="33" l="1"/>
  <c r="F182" i="33" s="1"/>
  <c r="H182" i="33" s="1"/>
  <c r="L181" i="33"/>
  <c r="D183" i="33" l="1"/>
  <c r="K183" i="33" s="1"/>
  <c r="Q183" i="33" s="1"/>
  <c r="H183" i="33"/>
  <c r="E184" i="33" s="1"/>
  <c r="J184" i="33" s="1"/>
  <c r="K182" i="33"/>
  <c r="Q182" i="33" s="1"/>
  <c r="E183" i="33"/>
  <c r="D184" i="33" l="1"/>
  <c r="F184" i="33" s="1"/>
  <c r="H184" i="33" s="1"/>
  <c r="E185" i="33" s="1"/>
  <c r="L182" i="33"/>
  <c r="L183" i="33"/>
  <c r="F183" i="33"/>
  <c r="J183" i="33"/>
  <c r="K184" i="33" l="1"/>
  <c r="Q184" i="33" s="1"/>
  <c r="D185" i="33"/>
  <c r="K185" i="33" s="1"/>
  <c r="Q185" i="33" s="1"/>
  <c r="M181" i="33"/>
  <c r="N181" i="33" s="1"/>
  <c r="J185" i="33"/>
  <c r="F185" i="33" l="1"/>
  <c r="H185" i="33" s="1"/>
  <c r="E186" i="33" s="1"/>
  <c r="J186" i="33" s="1"/>
  <c r="M182" i="33"/>
  <c r="M183" i="33" s="1"/>
  <c r="L184" i="33"/>
  <c r="L185" i="33"/>
  <c r="N182" i="33" l="1"/>
  <c r="N183" i="33" s="1"/>
  <c r="D186" i="33"/>
  <c r="F186" i="33" s="1"/>
  <c r="H186" i="33"/>
  <c r="E187" i="33" l="1"/>
  <c r="J187" i="33" s="1"/>
  <c r="D187" i="33"/>
  <c r="K186" i="33"/>
  <c r="Q186" i="33" s="1"/>
  <c r="L186" i="33" l="1"/>
  <c r="M184" i="33" s="1"/>
  <c r="F187" i="33"/>
  <c r="H187" i="33" s="1"/>
  <c r="K187" i="33"/>
  <c r="Q187" i="33" l="1"/>
  <c r="L187" i="33"/>
  <c r="D188" i="33"/>
  <c r="E188" i="33"/>
  <c r="J188" i="33" s="1"/>
  <c r="M185" i="33"/>
  <c r="M186" i="33" s="1"/>
  <c r="N184" i="33"/>
  <c r="N185" i="33" l="1"/>
  <c r="N186" i="33" s="1"/>
  <c r="F188" i="33"/>
  <c r="H188" i="33" s="1"/>
  <c r="K188" i="33"/>
  <c r="Q188" i="33" s="1"/>
  <c r="L188" i="33" l="1"/>
  <c r="E189" i="33"/>
  <c r="J189" i="33" s="1"/>
  <c r="D189" i="33"/>
  <c r="K189" i="33" l="1"/>
  <c r="Q189" i="33" s="1"/>
  <c r="F189" i="33"/>
  <c r="H189" i="33" s="1"/>
  <c r="L189" i="33" l="1"/>
  <c r="M187" i="33" s="1"/>
  <c r="M188" i="33" s="1"/>
  <c r="M189" i="33" s="1"/>
  <c r="D190" i="33"/>
  <c r="E190" i="33"/>
  <c r="J190" i="33" s="1"/>
  <c r="N187" i="33" l="1"/>
  <c r="N188" i="33" s="1"/>
  <c r="N189" i="33" s="1"/>
  <c r="K190" i="33"/>
  <c r="Q190" i="33" s="1"/>
  <c r="F190" i="33"/>
  <c r="H190" i="33" s="1"/>
  <c r="L190" i="33" l="1"/>
  <c r="E191" i="33"/>
  <c r="J191" i="33" s="1"/>
  <c r="D191" i="33"/>
  <c r="K191" i="33" l="1"/>
  <c r="Q191" i="33" s="1"/>
  <c r="F191" i="33"/>
  <c r="H191" i="33" s="1"/>
  <c r="E192" i="33" s="1"/>
  <c r="L191" i="33" l="1"/>
  <c r="J192" i="33"/>
  <c r="D192" i="33"/>
  <c r="F192" i="33" l="1"/>
  <c r="H192" i="33" s="1"/>
  <c r="E193" i="33" s="1"/>
  <c r="K192" i="33"/>
  <c r="Q192" i="33" s="1"/>
  <c r="L192" i="33" l="1"/>
  <c r="M190" i="33" s="1"/>
  <c r="N190" i="33" s="1"/>
  <c r="F193" i="33"/>
  <c r="H193" i="33" s="1"/>
  <c r="E194" i="33" s="1"/>
  <c r="J193" i="33"/>
  <c r="M191" i="33" l="1"/>
  <c r="M192" i="33" s="1"/>
  <c r="J194" i="33"/>
  <c r="F194" i="33"/>
  <c r="H194" i="33" s="1"/>
  <c r="E195" i="33" s="1"/>
  <c r="N191" i="33" l="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F195" i="33"/>
  <c r="H195" i="33" s="1"/>
  <c r="E196" i="33" s="1"/>
  <c r="J195" i="33"/>
  <c r="J196" i="33" l="1"/>
  <c r="F196" i="33"/>
  <c r="H196" i="33" s="1"/>
  <c r="E197" i="33" s="1"/>
  <c r="J197" i="33" l="1"/>
  <c r="F197" i="33"/>
  <c r="H197" i="33" s="1"/>
  <c r="E198" i="33" s="1"/>
  <c r="J198" i="33" l="1"/>
  <c r="F198" i="33"/>
  <c r="H198" i="33" s="1"/>
  <c r="E199" i="33" s="1"/>
  <c r="F199" i="33" l="1"/>
  <c r="H199" i="33" s="1"/>
  <c r="E200" i="33" s="1"/>
  <c r="J199" i="33"/>
  <c r="F200" i="33" l="1"/>
  <c r="H200" i="33" s="1"/>
  <c r="E201" i="33" s="1"/>
  <c r="J200" i="33"/>
  <c r="F201" i="33" l="1"/>
  <c r="H201" i="33" s="1"/>
  <c r="E202" i="33" s="1"/>
  <c r="J201" i="33"/>
  <c r="J202" i="33" l="1"/>
  <c r="F202" i="33"/>
  <c r="H202" i="33" s="1"/>
  <c r="E203" i="33" s="1"/>
  <c r="J203" i="33" l="1"/>
  <c r="F203" i="33"/>
  <c r="H203" i="33" s="1"/>
  <c r="E204" i="33" s="1"/>
  <c r="F204" i="33" l="1"/>
  <c r="H204" i="33" s="1"/>
  <c r="E205" i="33" s="1"/>
  <c r="J204" i="33"/>
  <c r="J205" i="33" l="1"/>
  <c r="F205" i="33"/>
  <c r="H205" i="33" s="1"/>
  <c r="E206" i="33" s="1"/>
  <c r="F206" i="33" l="1"/>
  <c r="H206" i="33" s="1"/>
  <c r="E207" i="33" s="1"/>
  <c r="J206" i="33"/>
  <c r="J207" i="33" l="1"/>
  <c r="F207" i="33"/>
  <c r="H207" i="33" s="1"/>
  <c r="E208" i="33" s="1"/>
  <c r="F208" i="33" l="1"/>
  <c r="H208" i="33" s="1"/>
  <c r="E209" i="33" s="1"/>
  <c r="J208" i="33"/>
  <c r="J209" i="33" l="1"/>
  <c r="F209" i="33"/>
  <c r="H209" i="33" s="1"/>
  <c r="E210" i="33" s="1"/>
  <c r="J210" i="33" l="1"/>
  <c r="F210" i="33"/>
  <c r="H210" i="33" s="1"/>
  <c r="E211" i="33" s="1"/>
  <c r="J211" i="33" l="1"/>
  <c r="F211" i="33"/>
  <c r="H211" i="33" s="1"/>
  <c r="E212" i="33" s="1"/>
  <c r="J212" i="33" l="1"/>
  <c r="F212" i="33"/>
  <c r="H212" i="33" s="1"/>
  <c r="E213" i="33" s="1"/>
  <c r="F213" i="33" l="1"/>
  <c r="H213" i="33" s="1"/>
  <c r="E214" i="33" s="1"/>
  <c r="J213" i="33"/>
  <c r="F214" i="33" l="1"/>
  <c r="H214" i="33" s="1"/>
  <c r="E215" i="33" s="1"/>
  <c r="J214" i="33"/>
  <c r="P41" i="15"/>
  <c r="F215" i="33" l="1"/>
  <c r="H215" i="33" s="1"/>
  <c r="E216" i="33" s="1"/>
  <c r="J215" i="33"/>
  <c r="G60" i="5"/>
  <c r="E78" i="5" s="1"/>
  <c r="E311" i="5" s="1"/>
  <c r="F216" i="33" l="1"/>
  <c r="H216" i="33" s="1"/>
  <c r="E217" i="33" s="1"/>
  <c r="J216" i="33"/>
  <c r="E54" i="5"/>
  <c r="M42" i="31"/>
  <c r="J76" i="18"/>
  <c r="AA76" i="18" s="1"/>
  <c r="D182" i="20"/>
  <c r="D188" i="20" s="1"/>
  <c r="D191" i="20" s="1"/>
  <c r="D184" i="6"/>
  <c r="D164" i="6" s="1"/>
  <c r="D43" i="15"/>
  <c r="I180" i="20" s="1"/>
  <c r="D181" i="20"/>
  <c r="D187" i="20" s="1"/>
  <c r="O190" i="20" s="1"/>
  <c r="D183" i="6"/>
  <c r="D189" i="6" s="1"/>
  <c r="O192" i="6" s="1"/>
  <c r="F311" i="5"/>
  <c r="J217" i="33" l="1"/>
  <c r="F217" i="33"/>
  <c r="H217" i="33" s="1"/>
  <c r="E218" i="33" s="1"/>
  <c r="Q190" i="20"/>
  <c r="L190" i="20"/>
  <c r="H191" i="20"/>
  <c r="N191" i="20"/>
  <c r="J190" i="20"/>
  <c r="D190" i="20"/>
  <c r="P192" i="6"/>
  <c r="R180" i="20"/>
  <c r="M192" i="6"/>
  <c r="Q180" i="20"/>
  <c r="N180" i="20"/>
  <c r="L192" i="6"/>
  <c r="G180" i="20"/>
  <c r="H180" i="20"/>
  <c r="H192" i="6"/>
  <c r="Q192" i="6"/>
  <c r="K192" i="6"/>
  <c r="R192" i="6"/>
  <c r="O180" i="20"/>
  <c r="K180" i="20"/>
  <c r="M180" i="20"/>
  <c r="D180" i="20"/>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N190" i="20"/>
  <c r="R190" i="20"/>
  <c r="P190" i="20"/>
  <c r="K190" i="20"/>
  <c r="H190" i="20"/>
  <c r="N192" i="6"/>
  <c r="D192" i="6"/>
  <c r="I192" i="6"/>
  <c r="J192" i="6"/>
  <c r="G192" i="6"/>
  <c r="P180" i="20"/>
  <c r="L180" i="20"/>
  <c r="J180" i="20"/>
  <c r="J193" i="6" l="1"/>
  <c r="F218" i="33"/>
  <c r="H218" i="33" s="1"/>
  <c r="E219" i="33" s="1"/>
  <c r="J218" i="33"/>
  <c r="K193" i="6"/>
  <c r="O193" i="6"/>
  <c r="P193" i="6"/>
  <c r="I193" i="6"/>
  <c r="Q192" i="20"/>
  <c r="P192" i="20"/>
  <c r="D193" i="6"/>
  <c r="G192" i="20"/>
  <c r="F153" i="20"/>
  <c r="D33" i="10" s="1"/>
  <c r="D34" i="10" s="1"/>
  <c r="M192" i="20"/>
  <c r="R192" i="20"/>
  <c r="N192" i="20"/>
  <c r="J192" i="20"/>
  <c r="O192" i="20"/>
  <c r="K192" i="20"/>
  <c r="L192" i="20"/>
  <c r="H192" i="20"/>
  <c r="N193" i="6"/>
  <c r="R193" i="6"/>
  <c r="L193" i="6"/>
  <c r="D191" i="6"/>
  <c r="G193" i="6"/>
  <c r="Q193" i="6"/>
  <c r="M193" i="6"/>
  <c r="F219" i="33" l="1"/>
  <c r="H219" i="33" s="1"/>
  <c r="J219" i="33"/>
  <c r="C80" i="17"/>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E220" i="33" l="1"/>
  <c r="H220" i="33"/>
  <c r="AP63" i="6"/>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J220" i="33" l="1"/>
  <c r="J120" i="33" s="1"/>
  <c r="F220" i="33"/>
  <c r="F120" i="33" s="1"/>
  <c r="E120" i="33"/>
  <c r="X35" i="6"/>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AH59" i="6"/>
  <c r="AH56" i="6"/>
  <c r="AH53" i="6"/>
  <c r="Q62" i="20"/>
  <c r="R62" i="20" s="1"/>
  <c r="V63" i="6"/>
  <c r="V41" i="6"/>
  <c r="V47" i="6"/>
  <c r="V59" i="6"/>
  <c r="V50" i="6"/>
  <c r="Q38" i="20"/>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s="1"/>
  <c r="U14" i="6"/>
  <c r="W20" i="6"/>
  <c r="V20" i="6"/>
  <c r="U8" i="6"/>
  <c r="U17" i="6"/>
  <c r="U7" i="6"/>
  <c r="C10" i="6"/>
  <c r="F10" i="6" s="1"/>
  <c r="F13" i="6"/>
  <c r="Z50" i="20"/>
  <c r="Z51" i="20" s="1"/>
  <c r="Z52" i="20" s="1"/>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8" i="20"/>
  <c r="Z49" i="20" s="1"/>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s="1"/>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s="1"/>
  <c r="AH57" i="6"/>
  <c r="Y56" i="20"/>
  <c r="AH42" i="6"/>
  <c r="Y41" i="20"/>
  <c r="Z41" i="20" s="1"/>
  <c r="Z68" i="20"/>
  <c r="Z69" i="20" s="1"/>
  <c r="Z70" i="20" s="1"/>
  <c r="AG14" i="6"/>
  <c r="R59" i="20" l="1"/>
  <c r="R60" i="20" s="1"/>
  <c r="R61" i="20" s="1"/>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s="1"/>
  <c r="R45" i="20"/>
  <c r="R46" i="20" s="1"/>
  <c r="R56" i="20"/>
  <c r="R57" i="20" s="1"/>
  <c r="R58" i="20" s="1"/>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s="1"/>
  <c r="Z56" i="20"/>
  <c r="Z57" i="20" s="1"/>
  <c r="Z58" i="20" s="1"/>
  <c r="R42" i="20"/>
  <c r="R43" i="20" s="1"/>
  <c r="R53" i="20"/>
  <c r="R54" i="20" s="1"/>
  <c r="R55" i="20" s="1"/>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s="1"/>
  <c r="Z53" i="20"/>
  <c r="R48" i="20"/>
  <c r="R49" i="20" s="1"/>
  <c r="R50"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52" i="20" s="1"/>
  <c r="R38" i="20"/>
  <c r="Z54" i="20"/>
  <c r="Z55" i="20" s="1"/>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Z40" i="20" s="1"/>
  <c r="R39" i="20"/>
  <c r="R40" i="20" s="1"/>
  <c r="R65" i="20"/>
  <c r="R66" i="20" s="1"/>
  <c r="R67"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67" i="20" s="1"/>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J18" i="20" l="1"/>
  <c r="J19" i="20" s="1"/>
  <c r="J20" i="20" s="1"/>
  <c r="V100" i="20"/>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O71" i="6"/>
  <c r="O72" i="6" s="1"/>
  <c r="D209" i="5"/>
  <c r="C73" i="4" s="1"/>
  <c r="M275" i="5"/>
  <c r="I149" i="20" l="1"/>
  <c r="I163" i="20" s="1"/>
  <c r="K219" i="5"/>
  <c r="J219" i="5" s="1"/>
  <c r="P36" i="6" s="1"/>
  <c r="P35" i="6" s="1"/>
  <c r="P71" i="6"/>
  <c r="C49" i="10"/>
  <c r="E320" i="5"/>
  <c r="F320" i="5" s="1"/>
  <c r="K285" i="5"/>
  <c r="E285" i="5" s="1"/>
  <c r="O65" i="6"/>
  <c r="D148" i="20"/>
  <c r="H275" i="5"/>
  <c r="C25" i="30"/>
  <c r="C26" i="30" s="1"/>
  <c r="E168" i="5"/>
  <c r="E210" i="5"/>
  <c r="C48" i="10"/>
  <c r="O68" i="6"/>
  <c r="D35" i="10"/>
  <c r="C35" i="10"/>
  <c r="M93" i="20"/>
  <c r="G48" i="10"/>
  <c r="I142" i="20" l="1"/>
  <c r="I144" i="20"/>
  <c r="I141" i="20"/>
  <c r="I219" i="5"/>
  <c r="I191" i="20"/>
  <c r="I192" i="20"/>
  <c r="I145" i="20"/>
  <c r="I136" i="20"/>
  <c r="I190" i="20"/>
  <c r="I140" i="20"/>
  <c r="I143" i="20"/>
  <c r="I137" i="20"/>
  <c r="I138" i="20"/>
  <c r="N86" i="6"/>
  <c r="P16" i="6" s="1"/>
  <c r="Q16" i="6" s="1"/>
  <c r="K229" i="5"/>
  <c r="D86" i="6" s="1"/>
  <c r="N88" i="6"/>
  <c r="Q36" i="6"/>
  <c r="Q13" i="6" s="1"/>
  <c r="P13" i="6"/>
  <c r="M71" i="20"/>
  <c r="N71" i="20" s="1"/>
  <c r="N72" i="20" s="1"/>
  <c r="Q71" i="6"/>
  <c r="Q72" i="6" s="1"/>
  <c r="P72" i="6"/>
  <c r="M35" i="20"/>
  <c r="P12" i="6"/>
  <c r="M12" i="20" s="1"/>
  <c r="O69" i="6"/>
  <c r="L285" i="5"/>
  <c r="D155" i="31"/>
  <c r="E321" i="5"/>
  <c r="C24" i="30"/>
  <c r="G285" i="5"/>
  <c r="E175" i="20"/>
  <c r="E86" i="20" s="1"/>
  <c r="D167" i="20"/>
  <c r="O66" i="6"/>
  <c r="O35" i="6"/>
  <c r="I146" i="20" l="1"/>
  <c r="J229" i="5"/>
  <c r="I229" i="5" s="1"/>
  <c r="Q35" i="6"/>
  <c r="Q57" i="6" s="1"/>
  <c r="N85" i="6"/>
  <c r="O12" i="6"/>
  <c r="P51" i="6"/>
  <c r="P63" i="6"/>
  <c r="P48" i="6"/>
  <c r="P57" i="6"/>
  <c r="P45" i="6"/>
  <c r="P54" i="6"/>
  <c r="G40" i="10"/>
  <c r="G46" i="10" s="1"/>
  <c r="P62" i="6"/>
  <c r="M62" i="20" s="1"/>
  <c r="N62" i="20" s="1"/>
  <c r="P73" i="6"/>
  <c r="P75" i="6" s="1"/>
  <c r="O36" i="6"/>
  <c r="P38" i="6"/>
  <c r="D173" i="20"/>
  <c r="D171" i="20"/>
  <c r="Q54" i="6"/>
  <c r="AB85" i="20"/>
  <c r="AD85" i="20"/>
  <c r="Z85" i="20"/>
  <c r="R85" i="20"/>
  <c r="X85" i="20"/>
  <c r="P85" i="20"/>
  <c r="P68" i="6"/>
  <c r="P66" i="6"/>
  <c r="P65" i="6"/>
  <c r="M65" i="20" s="1"/>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D149" i="20"/>
  <c r="O14" i="15" s="1"/>
  <c r="B12" i="24"/>
  <c r="F321" i="5"/>
  <c r="E323" i="5"/>
  <c r="D94" i="6"/>
  <c r="E16" i="6"/>
  <c r="D88" i="6"/>
  <c r="D85" i="6"/>
  <c r="D16" i="6"/>
  <c r="AF85" i="20"/>
  <c r="J85" i="20"/>
  <c r="V85" i="20"/>
  <c r="L85" i="20"/>
  <c r="T85" i="20"/>
  <c r="O70" i="6"/>
  <c r="O16" i="15" l="1"/>
  <c r="O13" i="15"/>
  <c r="O9" i="15"/>
  <c r="O75" i="15"/>
  <c r="O73" i="15" s="1"/>
  <c r="F12" i="24"/>
  <c r="R12" i="24"/>
  <c r="C20" i="24"/>
  <c r="R20" i="24"/>
  <c r="D36" i="6"/>
  <c r="D13" i="6" s="1"/>
  <c r="H24" i="33" s="1"/>
  <c r="Q38" i="6"/>
  <c r="Q39" i="6" s="1"/>
  <c r="Q68" i="6"/>
  <c r="Q70" i="6" s="1"/>
  <c r="Q63" i="6"/>
  <c r="Q65" i="6"/>
  <c r="Q66" i="6"/>
  <c r="Q48" i="6"/>
  <c r="Q45" i="6"/>
  <c r="Q12" i="6"/>
  <c r="Q73" i="6"/>
  <c r="Q75" i="6" s="1"/>
  <c r="Q51" i="6"/>
  <c r="Q62" i="6"/>
  <c r="N87" i="6"/>
  <c r="N89" i="6" s="1"/>
  <c r="M85" i="20"/>
  <c r="N85" i="20" s="1"/>
  <c r="N15" i="20" s="1"/>
  <c r="P15" i="6"/>
  <c r="C12" i="24"/>
  <c r="F20" i="24"/>
  <c r="H25" i="33"/>
  <c r="T86" i="20"/>
  <c r="T87" i="20" s="1"/>
  <c r="T15" i="20"/>
  <c r="V86" i="20"/>
  <c r="V87" i="20" s="1"/>
  <c r="V15" i="20"/>
  <c r="AF86" i="20"/>
  <c r="AF87" i="20" s="1"/>
  <c r="AF15" i="20"/>
  <c r="C85" i="20"/>
  <c r="T40" i="15"/>
  <c r="D15" i="6"/>
  <c r="D93" i="6"/>
  <c r="C93" i="20" s="1"/>
  <c r="D87" i="6"/>
  <c r="D89" i="6" s="1"/>
  <c r="T41" i="15"/>
  <c r="U41" i="15" s="1"/>
  <c r="E15" i="6"/>
  <c r="C29" i="6" s="1"/>
  <c r="T34" i="15"/>
  <c r="D163" i="20"/>
  <c r="C100" i="6"/>
  <c r="C109" i="6" s="1"/>
  <c r="P69" i="6"/>
  <c r="P70" i="6"/>
  <c r="M68" i="20"/>
  <c r="X15" i="20"/>
  <c r="X86" i="20"/>
  <c r="X87" i="20" s="1"/>
  <c r="Z15" i="20"/>
  <c r="Z86" i="20"/>
  <c r="Z87" i="20" s="1"/>
  <c r="AB86" i="20"/>
  <c r="AB87" i="20" s="1"/>
  <c r="AB15" i="20"/>
  <c r="D172" i="20"/>
  <c r="C56" i="10"/>
  <c r="C53" i="10" s="1"/>
  <c r="C59" i="10" s="1"/>
  <c r="C65" i="10"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X50" i="24"/>
  <c r="P86" i="20"/>
  <c r="P87" i="20" s="1"/>
  <c r="P15" i="20"/>
  <c r="R86" i="20"/>
  <c r="R87" i="20" s="1"/>
  <c r="R15" i="20"/>
  <c r="AD86" i="20"/>
  <c r="AD87" i="20" s="1"/>
  <c r="AD15" i="20"/>
  <c r="P74" i="6"/>
  <c r="Q74" i="6"/>
  <c r="N63" i="20"/>
  <c r="N64" i="20" s="1"/>
  <c r="O13" i="6"/>
  <c r="O9" i="6"/>
  <c r="O6" i="6"/>
  <c r="S12" i="24" l="1"/>
  <c r="P37" i="15"/>
  <c r="T37" i="15" s="1"/>
  <c r="U37" i="15" s="1"/>
  <c r="P36" i="15"/>
  <c r="T36" i="15" s="1"/>
  <c r="U36" i="15" s="1"/>
  <c r="O7" i="15"/>
  <c r="AV12" i="24"/>
  <c r="BH12" i="24"/>
  <c r="M184" i="31"/>
  <c r="D35" i="6"/>
  <c r="R14" i="15" s="1"/>
  <c r="S14" i="15" s="1"/>
  <c r="Q59" i="6"/>
  <c r="Q60" i="6" s="1"/>
  <c r="Q56" i="6"/>
  <c r="Q47" i="6"/>
  <c r="Q44" i="6"/>
  <c r="Q69" i="6"/>
  <c r="Q41" i="6"/>
  <c r="Q42" i="6" s="1"/>
  <c r="Q53" i="6"/>
  <c r="Q50" i="6"/>
  <c r="N86" i="20"/>
  <c r="N87" i="20" s="1"/>
  <c r="P6" i="6"/>
  <c r="P9" i="6"/>
  <c r="M15" i="20"/>
  <c r="N16" i="20" s="1"/>
  <c r="N17" i="20" s="1"/>
  <c r="Q15" i="6"/>
  <c r="P20" i="6"/>
  <c r="P21" i="6" s="1"/>
  <c r="U34" i="15"/>
  <c r="AS12" i="24"/>
  <c r="H23" i="33"/>
  <c r="S20" i="24"/>
  <c r="O14"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BH20" i="24" s="1"/>
  <c r="J16" i="20"/>
  <c r="J17" i="20" s="1"/>
  <c r="J6" i="20"/>
  <c r="J9" i="20"/>
  <c r="J10" i="20" s="1"/>
  <c r="J11" i="20" s="1"/>
  <c r="N50" i="20"/>
  <c r="N51" i="20" s="1"/>
  <c r="N52" i="20" s="1"/>
  <c r="N56" i="20"/>
  <c r="N57" i="20" s="1"/>
  <c r="N58" i="20" s="1"/>
  <c r="P60" i="6"/>
  <c r="M59" i="20"/>
  <c r="P42" i="6"/>
  <c r="M41" i="20"/>
  <c r="N41" i="20" s="1"/>
  <c r="AB16" i="20"/>
  <c r="AB17" i="20" s="1"/>
  <c r="AB6" i="20"/>
  <c r="AB9" i="20"/>
  <c r="AB10" i="20" s="1"/>
  <c r="AB11" i="20" s="1"/>
  <c r="Z16" i="20"/>
  <c r="Z17" i="20" s="1"/>
  <c r="Z9" i="20"/>
  <c r="Z10" i="20" s="1"/>
  <c r="Z11" i="20" s="1"/>
  <c r="Z6" i="20"/>
  <c r="X16" i="20"/>
  <c r="X17" i="20" s="1"/>
  <c r="X6" i="20"/>
  <c r="X9" i="20"/>
  <c r="X10" i="20" s="1"/>
  <c r="X11" i="20" s="1"/>
  <c r="E87" i="20"/>
  <c r="D85" i="20"/>
  <c r="BI12" i="24" l="1"/>
  <c r="D38" i="6"/>
  <c r="C41" i="30" s="1"/>
  <c r="C44" i="30" s="1"/>
  <c r="C45" i="30" s="1"/>
  <c r="C51" i="30" s="1"/>
  <c r="C52" i="30" s="1"/>
  <c r="P22" i="6"/>
  <c r="R7" i="15"/>
  <c r="S7" i="15" s="1"/>
  <c r="U33" i="15"/>
  <c r="R26" i="15"/>
  <c r="S26" i="15" s="1"/>
  <c r="D47" i="6"/>
  <c r="C47" i="20" s="1"/>
  <c r="D47" i="20" s="1"/>
  <c r="D48" i="20" s="1"/>
  <c r="D49" i="20" s="1"/>
  <c r="R69" i="15"/>
  <c r="S69" i="15" s="1"/>
  <c r="D65" i="6"/>
  <c r="C65" i="20" s="1"/>
  <c r="R39" i="15"/>
  <c r="R16" i="15"/>
  <c r="S16" i="15" s="1"/>
  <c r="R20" i="15"/>
  <c r="S20" i="15" s="1"/>
  <c r="D68" i="6"/>
  <c r="D69" i="6" s="1"/>
  <c r="E35" i="6"/>
  <c r="L84" i="15" s="1"/>
  <c r="R13" i="15"/>
  <c r="S13" i="15" s="1"/>
  <c r="R12" i="15"/>
  <c r="S12" i="15" s="1"/>
  <c r="R64" i="15"/>
  <c r="S64" i="15" s="1"/>
  <c r="R22" i="15"/>
  <c r="S22" i="15" s="1"/>
  <c r="D73" i="6"/>
  <c r="D75" i="6" s="1"/>
  <c r="R29" i="15"/>
  <c r="S29" i="15" s="1"/>
  <c r="R62" i="15"/>
  <c r="S62" i="15" s="1"/>
  <c r="R9" i="15"/>
  <c r="S9" i="15" s="1"/>
  <c r="R73" i="15"/>
  <c r="S73" i="15" s="1"/>
  <c r="D62" i="6"/>
  <c r="D63" i="6" s="1"/>
  <c r="D76" i="6"/>
  <c r="C76" i="20" s="1"/>
  <c r="C77" i="20" s="1"/>
  <c r="R75" i="15"/>
  <c r="S75" i="15" s="1"/>
  <c r="D50" i="6"/>
  <c r="D51" i="6" s="1"/>
  <c r="C35" i="20"/>
  <c r="D12" i="6"/>
  <c r="C12" i="20" s="1"/>
  <c r="B28" i="20" s="1"/>
  <c r="D41" i="6"/>
  <c r="D42" i="6" s="1"/>
  <c r="P17" i="6"/>
  <c r="P7" i="6"/>
  <c r="P14" i="6"/>
  <c r="P8" i="6"/>
  <c r="M6" i="20"/>
  <c r="Q9" i="6"/>
  <c r="Q6" i="6"/>
  <c r="P11" i="6"/>
  <c r="P10" i="6"/>
  <c r="M9" i="20"/>
  <c r="H22" i="33"/>
  <c r="V88" i="33" s="1"/>
  <c r="AS20" i="24"/>
  <c r="AV20" i="24"/>
  <c r="D93" i="20"/>
  <c r="D15" i="20"/>
  <c r="D16" i="20" s="1"/>
  <c r="D17" i="20" s="1"/>
  <c r="D86" i="20"/>
  <c r="X7" i="20"/>
  <c r="X8" i="20" s="1"/>
  <c r="X23" i="20"/>
  <c r="X24" i="20" s="1"/>
  <c r="Z7" i="20"/>
  <c r="Z8" i="20" s="1"/>
  <c r="Z23" i="20"/>
  <c r="Z24" i="20" s="1"/>
  <c r="AB7" i="20"/>
  <c r="AB8" i="20" s="1"/>
  <c r="AB23" i="20"/>
  <c r="AB24" i="20" s="1"/>
  <c r="N42" i="20"/>
  <c r="N43" i="20" s="1"/>
  <c r="N59" i="20"/>
  <c r="N60" i="20" s="1"/>
  <c r="N61" i="20" s="1"/>
  <c r="P7" i="20"/>
  <c r="P8" i="20" s="1"/>
  <c r="P23" i="20"/>
  <c r="P24" i="20" s="1"/>
  <c r="M187" i="31"/>
  <c r="Q29" i="33"/>
  <c r="Q22" i="33"/>
  <c r="Q28" i="33"/>
  <c r="Q19" i="33"/>
  <c r="Q23" i="33"/>
  <c r="Q24" i="33"/>
  <c r="Q20" i="33"/>
  <c r="Q21" i="33"/>
  <c r="U38" i="15"/>
  <c r="D28" i="20"/>
  <c r="D27" i="6"/>
  <c r="C6"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C53" i="30"/>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F89" i="15"/>
  <c r="F90" i="15" s="1"/>
  <c r="B83" i="15"/>
  <c r="AF51" i="24"/>
  <c r="AK51" i="24"/>
  <c r="AJ51" i="24"/>
  <c r="AI51" i="24"/>
  <c r="AD51" i="24"/>
  <c r="AL51" i="24"/>
  <c r="AM51" i="24"/>
  <c r="AN51" i="24"/>
  <c r="C50" i="20" l="1"/>
  <c r="D50" i="20" s="1"/>
  <c r="D51" i="20" s="1"/>
  <c r="D77" i="6"/>
  <c r="D39" i="6"/>
  <c r="D53" i="6"/>
  <c r="C53" i="20" s="1"/>
  <c r="D53" i="20" s="1"/>
  <c r="D54" i="20" s="1"/>
  <c r="D55" i="20" s="1"/>
  <c r="D56" i="6"/>
  <c r="C56" i="20" s="1"/>
  <c r="C38" i="20"/>
  <c r="D59" i="6"/>
  <c r="C59" i="20" s="1"/>
  <c r="D44" i="6"/>
  <c r="C44" i="20" s="1"/>
  <c r="D44" i="20" s="1"/>
  <c r="D45" i="20" s="1"/>
  <c r="D46" i="20" s="1"/>
  <c r="E62" i="6"/>
  <c r="E63" i="6" s="1"/>
  <c r="C62" i="20"/>
  <c r="D62" i="20" s="1"/>
  <c r="D63" i="20" s="1"/>
  <c r="D64" i="20" s="1"/>
  <c r="U6" i="15"/>
  <c r="D48" i="6"/>
  <c r="D52" i="20"/>
  <c r="E38" i="6"/>
  <c r="E53" i="6" s="1"/>
  <c r="E54" i="6" s="1"/>
  <c r="E65" i="6"/>
  <c r="E67" i="6" s="1"/>
  <c r="D66" i="6"/>
  <c r="D37" i="6" s="1"/>
  <c r="E68" i="6"/>
  <c r="E69" i="6" s="1"/>
  <c r="B28" i="6"/>
  <c r="D74" i="6"/>
  <c r="C68" i="20"/>
  <c r="D68" i="20" s="1"/>
  <c r="D80" i="20" s="1"/>
  <c r="E76" i="6"/>
  <c r="E77" i="6" s="1"/>
  <c r="E12" i="6"/>
  <c r="C324" i="5" s="1"/>
  <c r="E36" i="6"/>
  <c r="E13" i="6" s="1"/>
  <c r="F15" i="6" s="1"/>
  <c r="E73" i="6"/>
  <c r="E74" i="6" s="1"/>
  <c r="D70" i="6"/>
  <c r="D6" i="6"/>
  <c r="D33" i="24" s="1"/>
  <c r="U3" i="25"/>
  <c r="D9" i="6"/>
  <c r="C41" i="20"/>
  <c r="D41" i="20" s="1"/>
  <c r="Q11" i="6"/>
  <c r="Q10" i="6"/>
  <c r="Q7" i="6"/>
  <c r="Q8" i="6"/>
  <c r="Q17" i="6"/>
  <c r="Q20" i="6"/>
  <c r="Q14" i="6"/>
  <c r="Z54" i="24"/>
  <c r="V86" i="33"/>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AL54" i="24"/>
  <c r="AI54" i="24"/>
  <c r="AH54" i="24"/>
  <c r="AJ54" i="24"/>
  <c r="AF54" i="24"/>
  <c r="N38" i="20"/>
  <c r="N39" i="20" s="1"/>
  <c r="N40" i="20" s="1"/>
  <c r="AG54" i="24"/>
  <c r="AA54" i="24"/>
  <c r="D56" i="20"/>
  <c r="D57" i="20" s="1"/>
  <c r="D58" i="20" s="1"/>
  <c r="C420" i="25"/>
  <c r="B429" i="25"/>
  <c r="B427" i="25"/>
  <c r="B424" i="25"/>
  <c r="B423" i="25"/>
  <c r="B428" i="25"/>
  <c r="B426" i="25"/>
  <c r="B430" i="25"/>
  <c r="B421" i="25"/>
  <c r="B425" i="25"/>
  <c r="C210" i="25"/>
  <c r="C211" i="25" s="1"/>
  <c r="B211" i="25"/>
  <c r="AP19" i="6"/>
  <c r="L19" i="6"/>
  <c r="R19" i="6"/>
  <c r="C17" i="6"/>
  <c r="U19" i="6"/>
  <c r="X19" i="6"/>
  <c r="I19" i="6"/>
  <c r="O19" i="6"/>
  <c r="AJ19" i="6"/>
  <c r="C11" i="6"/>
  <c r="AD19" i="6"/>
  <c r="C23" i="6"/>
  <c r="AG19" i="6"/>
  <c r="AM19" i="6"/>
  <c r="AA19" i="6"/>
  <c r="C14" i="6"/>
  <c r="C7" i="6"/>
  <c r="C24" i="6" s="1"/>
  <c r="C57" i="30"/>
  <c r="C58" i="30"/>
  <c r="C60" i="30"/>
  <c r="C61" i="30"/>
  <c r="C19" i="6"/>
  <c r="M186" i="31"/>
  <c r="D59" i="20"/>
  <c r="D60" i="20" s="1"/>
  <c r="D61" i="20" s="1"/>
  <c r="Z3" i="25"/>
  <c r="D27" i="20"/>
  <c r="D45" i="6" l="1"/>
  <c r="D60" i="6"/>
  <c r="C43" i="30"/>
  <c r="D46" i="6"/>
  <c r="E46" i="20"/>
  <c r="D54" i="6"/>
  <c r="B80" i="20"/>
  <c r="D57" i="6"/>
  <c r="D11" i="6"/>
  <c r="D19" i="6"/>
  <c r="E66" i="6"/>
  <c r="E70" i="6"/>
  <c r="E9" i="6"/>
  <c r="E10" i="6" s="1"/>
  <c r="F11" i="6" s="1"/>
  <c r="E56" i="6"/>
  <c r="E57" i="6" s="1"/>
  <c r="E50" i="6"/>
  <c r="E51" i="6" s="1"/>
  <c r="E44" i="6"/>
  <c r="F38" i="6" s="1"/>
  <c r="D7" i="6"/>
  <c r="H29" i="33"/>
  <c r="D69" i="20"/>
  <c r="D70" i="20" s="1"/>
  <c r="E41" i="6"/>
  <c r="E42" i="6" s="1"/>
  <c r="E47" i="6"/>
  <c r="E48" i="6" s="1"/>
  <c r="E59" i="6"/>
  <c r="E60" i="6" s="1"/>
  <c r="E39" i="6"/>
  <c r="E37" i="6" s="1"/>
  <c r="D23" i="6"/>
  <c r="D24" i="6" s="1"/>
  <c r="D32" i="24"/>
  <c r="O34" i="15"/>
  <c r="V34" i="15" s="1"/>
  <c r="C4" i="15"/>
  <c r="D29" i="24"/>
  <c r="E6" i="6"/>
  <c r="E7" i="6" s="1"/>
  <c r="D14" i="6"/>
  <c r="D20" i="6"/>
  <c r="D21" i="6" s="1"/>
  <c r="E4" i="15"/>
  <c r="B29" i="6"/>
  <c r="D31" i="24"/>
  <c r="D30" i="24"/>
  <c r="D27" i="24"/>
  <c r="D17" i="6"/>
  <c r="D35" i="24"/>
  <c r="C6" i="20"/>
  <c r="D34" i="24"/>
  <c r="E75" i="6"/>
  <c r="F14" i="6"/>
  <c r="W3" i="25"/>
  <c r="C325" i="5" s="1"/>
  <c r="C326" i="5" s="1"/>
  <c r="D28" i="24"/>
  <c r="W9" i="15"/>
  <c r="N5" i="33" s="1"/>
  <c r="Q5" i="33" s="1"/>
  <c r="W14" i="15"/>
  <c r="N8" i="33" s="1"/>
  <c r="Q8" i="33" s="1"/>
  <c r="W13" i="15"/>
  <c r="N7" i="33" s="1"/>
  <c r="Q7" i="33" s="1"/>
  <c r="W12" i="15"/>
  <c r="N6" i="33" s="1"/>
  <c r="Q6" i="33" s="1"/>
  <c r="W40" i="15"/>
  <c r="N17" i="33" s="1"/>
  <c r="Q17" i="33" s="1"/>
  <c r="W64" i="15"/>
  <c r="N25" i="33" s="1"/>
  <c r="Q25" i="33" s="1"/>
  <c r="W62" i="15"/>
  <c r="V9" i="15"/>
  <c r="V64" i="15"/>
  <c r="V14" i="15"/>
  <c r="V26" i="15"/>
  <c r="V62" i="15"/>
  <c r="V7" i="15"/>
  <c r="V22" i="15"/>
  <c r="V13" i="15"/>
  <c r="V39" i="15"/>
  <c r="V29" i="15"/>
  <c r="C9" i="20"/>
  <c r="W37" i="15"/>
  <c r="N15" i="33" s="1"/>
  <c r="Q15" i="33" s="1"/>
  <c r="W26" i="15"/>
  <c r="N11" i="33" s="1"/>
  <c r="Q11" i="33" s="1"/>
  <c r="W69" i="15"/>
  <c r="N26" i="33" s="1"/>
  <c r="Q26" i="33" s="1"/>
  <c r="W16" i="15"/>
  <c r="N9" i="33" s="1"/>
  <c r="Q9" i="33" s="1"/>
  <c r="W73" i="15"/>
  <c r="W22" i="15"/>
  <c r="N10" i="33" s="1"/>
  <c r="Q10" i="33" s="1"/>
  <c r="W29" i="15"/>
  <c r="N12" i="33" s="1"/>
  <c r="Q12" i="33" s="1"/>
  <c r="V73" i="15"/>
  <c r="V69" i="15"/>
  <c r="V16" i="15"/>
  <c r="V40" i="15"/>
  <c r="V12" i="15"/>
  <c r="D10" i="6"/>
  <c r="E44" i="24" s="1"/>
  <c r="E327" i="5" s="1"/>
  <c r="V36" i="15"/>
  <c r="V20" i="15"/>
  <c r="V37" i="15"/>
  <c r="V41" i="15"/>
  <c r="V75" i="15"/>
  <c r="W75" i="15" s="1"/>
  <c r="N27" i="33" s="1"/>
  <c r="Q27" i="33" s="1"/>
  <c r="W36" i="15"/>
  <c r="N14" i="33" s="1"/>
  <c r="Q14" i="33" s="1"/>
  <c r="W41" i="15"/>
  <c r="N18" i="33" s="1"/>
  <c r="Q18" i="33" s="1"/>
  <c r="W20" i="15"/>
  <c r="W7" i="15"/>
  <c r="U90" i="25"/>
  <c r="U95" i="25"/>
  <c r="U97" i="25"/>
  <c r="U29" i="25"/>
  <c r="U20" i="25"/>
  <c r="U73" i="25"/>
  <c r="U60" i="25"/>
  <c r="U58" i="25"/>
  <c r="U67" i="25"/>
  <c r="U37" i="25"/>
  <c r="U92" i="25"/>
  <c r="U103" i="25"/>
  <c r="U18" i="25"/>
  <c r="U30" i="25"/>
  <c r="U54" i="25"/>
  <c r="U22" i="25"/>
  <c r="U82" i="25"/>
  <c r="U49" i="25"/>
  <c r="U35" i="25"/>
  <c r="U62" i="25"/>
  <c r="U31" i="25"/>
  <c r="U50" i="25"/>
  <c r="U74" i="25"/>
  <c r="U40" i="25"/>
  <c r="U24" i="25"/>
  <c r="U69" i="25"/>
  <c r="U63" i="25"/>
  <c r="U7" i="25"/>
  <c r="U84" i="25"/>
  <c r="U101" i="25"/>
  <c r="U100" i="25"/>
  <c r="U25" i="25"/>
  <c r="U61" i="25"/>
  <c r="U23" i="25"/>
  <c r="U94" i="25"/>
  <c r="U99" i="25"/>
  <c r="U10" i="25"/>
  <c r="U89" i="25"/>
  <c r="U87" i="25"/>
  <c r="U104" i="25"/>
  <c r="U88" i="25"/>
  <c r="U72" i="25"/>
  <c r="U64" i="25"/>
  <c r="U86" i="25"/>
  <c r="U46" i="25"/>
  <c r="U27" i="25"/>
  <c r="U19" i="25"/>
  <c r="U68" i="25"/>
  <c r="U65" i="25"/>
  <c r="U34" i="25"/>
  <c r="U83" i="25"/>
  <c r="U8" i="25"/>
  <c r="U12" i="25"/>
  <c r="U51" i="25"/>
  <c r="U21" i="25"/>
  <c r="U17" i="25"/>
  <c r="U98" i="25"/>
  <c r="U41" i="25"/>
  <c r="U53" i="25"/>
  <c r="U93" i="25"/>
  <c r="U5" i="25"/>
  <c r="U13" i="25"/>
  <c r="U56" i="25"/>
  <c r="U52" i="25"/>
  <c r="U32" i="25"/>
  <c r="U44" i="25"/>
  <c r="U6" i="25"/>
  <c r="U76" i="25"/>
  <c r="U96" i="25"/>
  <c r="U80" i="25"/>
  <c r="U38" i="25"/>
  <c r="U75" i="25"/>
  <c r="U47" i="25"/>
  <c r="U14" i="25"/>
  <c r="U70" i="25"/>
  <c r="U57" i="25"/>
  <c r="U91" i="25"/>
  <c r="U15" i="25"/>
  <c r="U43" i="25"/>
  <c r="U11" i="25"/>
  <c r="U66" i="25"/>
  <c r="U33" i="25"/>
  <c r="U16" i="25"/>
  <c r="U48" i="25"/>
  <c r="U9" i="25"/>
  <c r="U45" i="25"/>
  <c r="U55" i="25"/>
  <c r="U81" i="25"/>
  <c r="U102" i="25"/>
  <c r="U78" i="25"/>
  <c r="U77" i="25"/>
  <c r="U79" i="25"/>
  <c r="U26" i="25"/>
  <c r="U71" i="25"/>
  <c r="U28" i="25"/>
  <c r="U36" i="25"/>
  <c r="U85" i="25"/>
  <c r="U39" i="25"/>
  <c r="U59" i="25"/>
  <c r="U42" i="25"/>
  <c r="D423" i="25"/>
  <c r="H427" i="25"/>
  <c r="Q21" i="6"/>
  <c r="Q22" i="6"/>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D38" i="20"/>
  <c r="C73" i="30" s="1"/>
  <c r="D42" i="20"/>
  <c r="D43" i="20" s="1"/>
  <c r="C114" i="30"/>
  <c r="C69" i="30"/>
  <c r="C66" i="30"/>
  <c r="K428" i="25"/>
  <c r="K423" i="25"/>
  <c r="K429" i="25"/>
  <c r="K421" i="25"/>
  <c r="K426" i="25"/>
  <c r="K425" i="25"/>
  <c r="K424" i="25"/>
  <c r="K427" i="25"/>
  <c r="K430" i="25"/>
  <c r="C68" i="30"/>
  <c r="C65" i="30"/>
  <c r="C8" i="6"/>
  <c r="C425" i="25"/>
  <c r="C423" i="25"/>
  <c r="C428" i="25"/>
  <c r="C427" i="25"/>
  <c r="C426" i="25"/>
  <c r="C424" i="25"/>
  <c r="C429" i="25"/>
  <c r="C421" i="25"/>
  <c r="C430" i="25"/>
  <c r="D316" i="25" l="1"/>
  <c r="E46" i="6"/>
  <c r="C23" i="20"/>
  <c r="E45" i="6"/>
  <c r="D8" i="6"/>
  <c r="D22" i="6"/>
  <c r="E19" i="6"/>
  <c r="R34" i="15"/>
  <c r="R33" i="15" s="1"/>
  <c r="S39" i="15" s="1"/>
  <c r="W39" i="15" s="1"/>
  <c r="E20" i="6"/>
  <c r="E22" i="6" s="1"/>
  <c r="E23" i="6"/>
  <c r="E24" i="6" s="1"/>
  <c r="C338" i="5"/>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C115" i="30"/>
  <c r="C75" i="30"/>
  <c r="C76" i="30" s="1"/>
  <c r="C77" i="30" s="1"/>
  <c r="C78" i="30" s="1"/>
  <c r="C79" i="30" s="1"/>
  <c r="C80" i="30" s="1"/>
  <c r="A80" i="20"/>
  <c r="D39" i="20"/>
  <c r="D40" i="20" s="1"/>
  <c r="D65" i="20"/>
  <c r="S34" i="15" l="1"/>
  <c r="W34" i="15" s="1"/>
  <c r="N427" i="25"/>
  <c r="N428" i="25"/>
  <c r="S38" i="15"/>
  <c r="E21" i="6"/>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I26" i="25" s="1"/>
  <c r="N421" i="25"/>
  <c r="N429" i="25"/>
  <c r="N425" i="25"/>
  <c r="N430" i="25"/>
  <c r="M64" i="25" s="1"/>
  <c r="N424" i="25"/>
  <c r="G41" i="10"/>
  <c r="G47" i="10" s="1"/>
  <c r="G50" i="10" s="1"/>
  <c r="N110" i="20" s="1"/>
  <c r="N108" i="20" s="1"/>
  <c r="N36" i="20"/>
  <c r="N37" i="20" s="1"/>
  <c r="J88" i="25"/>
  <c r="W33" i="15"/>
  <c r="C80" i="20"/>
  <c r="D66" i="20"/>
  <c r="D67" i="20" s="1"/>
  <c r="D35" i="20"/>
  <c r="C86" i="30"/>
  <c r="C84" i="30"/>
  <c r="C83" i="30"/>
  <c r="C87" i="30"/>
  <c r="W38" i="15"/>
  <c r="N16" i="33"/>
  <c r="Q16" i="33" s="1"/>
  <c r="N9" i="20"/>
  <c r="N10" i="20" s="1"/>
  <c r="N11" i="20" s="1"/>
  <c r="N13" i="20"/>
  <c r="N14" i="20" s="1"/>
  <c r="S33" i="15" l="1"/>
  <c r="S6" i="15" s="1"/>
  <c r="J13" i="25"/>
  <c r="K33" i="25"/>
  <c r="J48" i="25"/>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l="1"/>
  <c r="U87" i="33"/>
  <c r="H28" i="33"/>
  <c r="D18" i="20"/>
  <c r="N7" i="20"/>
  <c r="N8" i="20" s="1"/>
  <c r="N23" i="20"/>
  <c r="N24" i="20" s="1"/>
  <c r="X33" i="15"/>
  <c r="Y34" i="15"/>
  <c r="U85" i="33" l="1"/>
  <c r="Q81" i="33" s="1"/>
  <c r="C27" i="20"/>
  <c r="M190" i="31"/>
  <c r="J26" i="33"/>
  <c r="D6" i="20"/>
  <c r="AS22" i="24" s="1"/>
  <c r="AS32" i="24" s="1"/>
  <c r="D19" i="20"/>
  <c r="D20" i="20" s="1"/>
  <c r="H44" i="24"/>
  <c r="I36" i="33" s="1"/>
  <c r="Y33" i="15"/>
  <c r="Y6" i="15" s="1"/>
  <c r="N13" i="33"/>
  <c r="Q13" i="33" s="1"/>
  <c r="AS30" i="24" l="1"/>
  <c r="AS31" i="24"/>
  <c r="AS28" i="24"/>
  <c r="AS29" i="24"/>
  <c r="AS26" i="24"/>
  <c r="AS27" i="24"/>
  <c r="AS24" i="24"/>
  <c r="AS25" i="24"/>
  <c r="N80" i="33"/>
  <c r="Q82" i="33"/>
  <c r="E30" i="24"/>
  <c r="E31" i="24"/>
  <c r="E35" i="24"/>
  <c r="H36" i="33"/>
  <c r="D23" i="20"/>
  <c r="E28" i="24"/>
  <c r="E29" i="24"/>
  <c r="M193" i="31"/>
  <c r="F97" i="15"/>
  <c r="J22" i="33"/>
  <c r="D7" i="20"/>
  <c r="F99" i="15" s="1"/>
  <c r="F100" i="15" s="1"/>
  <c r="AA3" i="25"/>
  <c r="AA31" i="25" s="1"/>
  <c r="E34" i="24"/>
  <c r="E27" i="24"/>
  <c r="E32" i="24"/>
  <c r="E33"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A20" i="25" l="1"/>
  <c r="I35" i="33"/>
  <c r="H35" i="33"/>
  <c r="AA9" i="25"/>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F92" i="15"/>
  <c r="H81" i="33" l="1"/>
  <c r="H82" i="33" s="1"/>
  <c r="I82" i="33" s="1"/>
  <c r="E1" i="15"/>
  <c r="H32" i="33"/>
  <c r="H34" i="33" s="1"/>
  <c r="F94" i="15" s="1"/>
  <c r="M194" i="31"/>
  <c r="F93" i="15"/>
  <c r="I33" i="33"/>
  <c r="M196" i="31" l="1"/>
  <c r="H80" i="33"/>
  <c r="I32" i="33"/>
  <c r="M195" i="31"/>
</calcChain>
</file>

<file path=xl/comments1.xml><?xml version="1.0" encoding="utf-8"?>
<comments xmlns="http://schemas.openxmlformats.org/spreadsheetml/2006/main">
  <authors>
    <author>Anna D. Myshak</author>
  </authors>
  <commentList>
    <comment ref="D17" authorId="0" shapeId="0">
      <text>
        <r>
          <rPr>
            <b/>
            <sz val="9"/>
            <color indexed="81"/>
            <rFont val="Tahoma"/>
            <family val="2"/>
            <charset val="204"/>
          </rPr>
          <t>Технологии отсортированы по возрастанию сопротивления теплопередаче</t>
        </r>
      </text>
    </comment>
    <comment ref="D59" authorId="0" shape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<sst xmlns="http://schemas.openxmlformats.org/spreadsheetml/2006/main" count="6619" uniqueCount="2508">
  <si>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</si>
  <si>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</si>
  <si>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</si>
  <si>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</si>
  <si>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</si>
  <si>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</si>
  <si>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</si>
  <si>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</si>
  <si>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</si>
  <si>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</si>
  <si>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</si>
  <si>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</si>
  <si>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</si>
  <si>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</si>
  <si>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</si>
  <si>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</si>
  <si>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</si>
  <si>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</si>
  <si>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</si>
  <si>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</si>
  <si>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</si>
  <si>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</si>
  <si>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</si>
  <si>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</si>
  <si>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</si>
  <si>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</si>
  <si>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</si>
  <si>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</si>
  <si>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</si>
  <si>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</si>
  <si>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</si>
  <si>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</si>
  <si>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</si>
  <si>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</si>
  <si>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</si>
  <si>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</si>
  <si>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</si>
  <si>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</si>
  <si>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</si>
  <si>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</si>
  <si>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</si>
  <si>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</si>
  <si>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</si>
  <si>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</si>
  <si>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</si>
  <si>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</si>
  <si>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</si>
  <si>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</si>
  <si>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</si>
  <si>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</si>
  <si>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</si>
  <si>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</si>
  <si>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</si>
  <si>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</si>
  <si>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</si>
  <si>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</si>
  <si>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</si>
  <si>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</si>
  <si>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</si>
  <si>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</si>
  <si>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</si>
  <si>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</si>
  <si>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</si>
  <si>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</si>
  <si>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</si>
  <si>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</si>
  <si>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</si>
  <si>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</si>
  <si>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</si>
  <si>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</si>
  <si>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</si>
  <si>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</si>
  <si>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</si>
  <si>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</si>
  <si>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</si>
  <si>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</si>
  <si>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</si>
  <si>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</si>
  <si>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</si>
  <si>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</si>
  <si>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</si>
  <si>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</si>
  <si>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</si>
  <si>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</si>
  <si>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</si>
  <si>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</si>
  <si>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</si>
  <si>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</si>
  <si>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</si>
  <si>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</si>
  <si>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</si>
  <si>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</si>
  <si>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</si>
  <si>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</si>
  <si>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</si>
  <si>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</si>
  <si>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</si>
  <si>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</si>
  <si>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</si>
  <si>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</si>
  <si>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</si>
  <si>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</si>
  <si>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</si>
  <si>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</si>
  <si>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</si>
  <si>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</si>
  <si>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</si>
  <si>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</si>
  <si>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</si>
  <si>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</si>
  <si>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</si>
  <si>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</si>
  <si>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</si>
  <si>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</si>
  <si>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</si>
  <si>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</si>
  <si>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</si>
  <si>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</si>
  <si>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</si>
  <si>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</si>
  <si>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</si>
  <si>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</si>
  <si>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</si>
  <si>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</si>
  <si>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</si>
  <si>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</si>
  <si>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</si>
  <si>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</si>
  <si>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</si>
  <si>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</si>
  <si>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</si>
  <si>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</si>
  <si>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</si>
  <si>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</si>
  <si>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</si>
  <si>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</si>
  <si>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</si>
  <si>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</si>
  <si>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</si>
  <si>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</si>
  <si>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</si>
  <si>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</si>
  <si>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</si>
  <si>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</si>
  <si>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</si>
  <si>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</si>
  <si>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</si>
  <si>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</si>
  <si>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</si>
  <si>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</si>
  <si>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</si>
  <si>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</si>
  <si>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</si>
  <si>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</si>
  <si>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</si>
  <si>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</si>
  <si>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</si>
  <si>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</si>
  <si>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</si>
  <si>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</si>
  <si>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</si>
  <si>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</si>
  <si>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</si>
  <si>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</si>
  <si>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</si>
  <si>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</si>
  <si>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</si>
  <si>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</si>
  <si>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</si>
  <si>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</si>
  <si>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</si>
  <si>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</si>
  <si>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</si>
  <si>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</si>
  <si>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</si>
  <si>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</si>
  <si>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</si>
  <si>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</si>
  <si>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</si>
  <si>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</si>
  <si>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</si>
  <si>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</si>
  <si>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</si>
  <si>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</si>
  <si>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</si>
  <si>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</si>
  <si>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</si>
  <si>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</si>
  <si>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</si>
  <si>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</si>
  <si>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</si>
  <si>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</si>
  <si>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</si>
  <si>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</si>
  <si>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</si>
  <si>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</si>
  <si>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</si>
  <si>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</si>
  <si>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</si>
  <si>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</si>
  <si>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</si>
  <si>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</si>
  <si>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</si>
  <si>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</si>
  <si>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</si>
  <si>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</si>
  <si>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</si>
  <si>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</si>
  <si>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</si>
  <si>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</si>
  <si>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</si>
  <si>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</si>
  <si>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</si>
  <si>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</si>
  <si>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</si>
  <si>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</si>
  <si>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</si>
  <si>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</si>
  <si>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</si>
  <si>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</si>
  <si>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</si>
  <si>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</si>
  <si>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</si>
  <si>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</si>
  <si>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</si>
  <si>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</si>
  <si>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</si>
  <si>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</si>
  <si>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</si>
  <si>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</si>
  <si>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</si>
  <si>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</si>
  <si>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</si>
  <si>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</si>
  <si>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</si>
  <si>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</si>
  <si>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</si>
  <si>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</si>
  <si>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</si>
  <si>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</si>
  <si>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</si>
  <si>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</si>
  <si>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</si>
  <si>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</si>
  <si>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</si>
  <si>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</si>
  <si>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</si>
  <si>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</si>
  <si>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</si>
  <si>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</si>
  <si>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</si>
  <si>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</si>
  <si>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</si>
  <si>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</si>
  <si>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</si>
  <si>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</si>
  <si>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</si>
  <si>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</si>
  <si>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</si>
  <si>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</si>
  <si>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</si>
  <si>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</si>
  <si>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</si>
  <si>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</si>
  <si>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</si>
  <si>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</si>
  <si>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</si>
  <si>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</si>
  <si>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</si>
  <si>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</si>
  <si>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</si>
  <si>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</si>
  <si>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</si>
  <si>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</si>
  <si>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</si>
  <si>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</si>
  <si>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</si>
  <si>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</si>
  <si>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</si>
  <si>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</si>
  <si>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</si>
  <si>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</si>
  <si>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</si>
  <si>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</si>
  <si>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</si>
  <si>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</si>
  <si>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</si>
  <si>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</si>
  <si>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</si>
  <si>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</si>
  <si>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</si>
  <si>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</si>
  <si>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</si>
  <si>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</si>
  <si>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</si>
  <si>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</si>
  <si>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</si>
  <si>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</si>
  <si>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</si>
  <si>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</si>
  <si>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</si>
  <si>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</si>
  <si>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</si>
  <si>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</si>
  <si>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</si>
  <si>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</si>
  <si>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</si>
  <si>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</si>
  <si>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</si>
  <si>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</si>
  <si>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</si>
  <si>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</si>
  <si>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</si>
  <si>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</si>
  <si>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</si>
  <si>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</si>
  <si>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</si>
  <si>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</si>
  <si>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</si>
  <si>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</si>
  <si>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</si>
  <si>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</si>
  <si>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</si>
  <si>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</si>
  <si>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</si>
  <si>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</si>
  <si>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</si>
  <si>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</si>
  <si>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</si>
  <si>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</si>
  <si>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</si>
  <si>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</si>
  <si>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</si>
  <si>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</si>
  <si>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</si>
  <si>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</si>
  <si>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</si>
  <si>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</si>
  <si>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</si>
  <si>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</si>
  <si>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</si>
  <si>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</si>
  <si>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</si>
  <si>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</si>
  <si>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</si>
  <si>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</si>
  <si>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</si>
  <si>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</si>
  <si>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</si>
  <si>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</si>
  <si>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</si>
  <si>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</si>
  <si>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</si>
  <si>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</si>
  <si>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</si>
  <si>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</si>
  <si>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</si>
  <si>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</si>
  <si>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</si>
  <si>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</si>
  <si>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</si>
  <si>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</si>
  <si>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</si>
  <si>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</si>
  <si>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</si>
  <si>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</si>
  <si>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</si>
  <si>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</si>
  <si>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</si>
  <si>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</si>
  <si>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</si>
  <si>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</si>
  <si>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</si>
  <si>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</si>
  <si>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</si>
  <si>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</si>
  <si>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</si>
  <si>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</si>
  <si>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</si>
  <si>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</si>
  <si>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</si>
  <si>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</si>
  <si>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</si>
  <si>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</si>
  <si>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</si>
  <si>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</si>
  <si>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</si>
  <si>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</si>
  <si>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</si>
  <si>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</si>
  <si>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</si>
  <si>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</si>
  <si>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</si>
  <si>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</si>
  <si>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</si>
  <si>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</si>
  <si>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</si>
  <si>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</si>
  <si>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</si>
  <si>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</si>
  <si>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</si>
  <si>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</si>
  <si>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</si>
  <si>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</si>
  <si>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</si>
  <si>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</si>
  <si>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</si>
  <si>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</si>
  <si>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</si>
  <si>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</si>
  <si>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</si>
  <si>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</si>
  <si>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</si>
  <si>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</si>
  <si>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</si>
  <si>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</si>
  <si>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</si>
  <si>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</si>
  <si>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</si>
  <si>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</si>
  <si>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</si>
  <si>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</si>
  <si>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</si>
  <si>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</si>
  <si>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</si>
  <si>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</si>
  <si>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</si>
  <si>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</si>
  <si>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</si>
  <si>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</si>
  <si>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</si>
  <si>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</si>
  <si>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</si>
  <si>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</si>
  <si>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</si>
  <si>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</si>
  <si>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</si>
  <si>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</si>
  <si>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</si>
  <si>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</si>
  <si>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</si>
  <si>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</si>
  <si>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</si>
  <si>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</si>
  <si>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</si>
  <si>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</si>
  <si>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</si>
  <si>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</si>
  <si>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</si>
  <si>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</si>
  <si>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</si>
  <si>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</si>
  <si>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</si>
  <si>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</si>
  <si>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</si>
  <si>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</si>
  <si>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</si>
  <si>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</si>
  <si>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</si>
  <si>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</si>
  <si>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</si>
  <si>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</si>
  <si>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</si>
  <si>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</si>
  <si>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</si>
  <si>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</si>
  <si>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</si>
  <si>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</si>
  <si>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</si>
  <si>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</si>
  <si>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</si>
  <si>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</si>
  <si>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</si>
  <si>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</si>
  <si>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</si>
  <si>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</si>
  <si>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</si>
  <si>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</si>
  <si>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</si>
  <si>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</si>
  <si>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</si>
  <si>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</si>
  <si>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</si>
  <si>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</si>
  <si>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</si>
  <si>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</si>
  <si>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</si>
  <si>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</si>
  <si>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</si>
  <si>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</si>
  <si>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</si>
  <si>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</si>
  <si>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</si>
  <si>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</si>
  <si>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</si>
  <si>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</si>
  <si>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</si>
  <si>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</si>
  <si>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</si>
  <si>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</si>
  <si>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</si>
  <si>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</si>
  <si>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</si>
  <si>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</si>
  <si>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</si>
  <si>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</si>
  <si>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</si>
  <si>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</si>
  <si>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</si>
  <si>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</si>
  <si>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</si>
  <si>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</si>
  <si>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</si>
  <si>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</si>
  <si>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</si>
  <si>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</si>
  <si>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</si>
  <si>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</si>
  <si>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</si>
  <si>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</si>
  <si>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</si>
  <si>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</si>
  <si>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</si>
  <si>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</si>
  <si>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</si>
  <si>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</si>
  <si>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</si>
  <si>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</si>
  <si>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</si>
  <si>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</si>
  <si>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</si>
  <si>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</si>
  <si>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</si>
  <si>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</si>
  <si>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</si>
  <si>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</si>
  <si>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</si>
  <si>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</si>
  <si>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</si>
  <si>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</si>
  <si>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</si>
  <si>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</si>
  <si>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</si>
  <si>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</si>
  <si>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</si>
  <si>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</si>
  <si>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</si>
  <si>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</si>
  <si>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</si>
  <si>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</si>
  <si>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</si>
  <si>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</si>
  <si>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</si>
  <si>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</si>
  <si>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</si>
  <si>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</si>
  <si>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</si>
  <si>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</si>
  <si>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</si>
  <si>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</si>
  <si>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</si>
  <si>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</si>
  <si>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</si>
  <si>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</si>
  <si>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</si>
  <si>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</si>
  <si>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</si>
  <si>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</si>
  <si>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</si>
  <si>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</si>
  <si>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</si>
  <si>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</si>
  <si>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</si>
  <si>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</si>
  <si>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</si>
  <si>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</si>
  <si>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</si>
  <si>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</si>
  <si>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</si>
  <si>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</si>
  <si>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</si>
  <si>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</si>
  <si>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</si>
  <si>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</si>
  <si>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</si>
  <si>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</si>
  <si>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</si>
  <si>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</si>
  <si>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</si>
  <si>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</si>
  <si>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</si>
  <si>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</si>
  <si>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</si>
  <si>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</si>
  <si>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</si>
  <si>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</si>
  <si>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</si>
  <si>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</si>
  <si>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</si>
  <si>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</si>
  <si>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</si>
  <si>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</si>
  <si>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</si>
  <si>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</si>
  <si>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</si>
  <si>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</si>
  <si>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</si>
  <si>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</si>
  <si>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</si>
  <si>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</si>
  <si>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</si>
  <si>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</si>
  <si>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</si>
  <si>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</si>
  <si>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</si>
  <si>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</si>
  <si>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</si>
  <si>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</si>
  <si>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</si>
  <si>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</si>
  <si>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</si>
  <si>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</si>
  <si>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</si>
  <si>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</si>
  <si>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</si>
  <si>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</si>
  <si>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</si>
  <si>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</si>
  <si>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</si>
  <si>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</si>
  <si>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</si>
  <si>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</si>
  <si>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</si>
  <si>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</si>
  <si>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</si>
  <si>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</si>
  <si>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</si>
  <si>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</si>
  <si>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</si>
  <si>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</si>
  <si>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</si>
  <si>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</si>
  <si>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</si>
  <si>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</si>
  <si>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</si>
  <si>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</si>
  <si>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</si>
  <si>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</si>
  <si>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</si>
  <si>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</si>
  <si>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</si>
  <si>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</si>
  <si>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</si>
  <si>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</si>
  <si>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</si>
  <si>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</si>
  <si>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</si>
  <si>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</si>
  <si>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</si>
  <si>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</si>
  <si>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</si>
  <si>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</si>
  <si>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</si>
  <si>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</si>
  <si>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</si>
  <si>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</si>
  <si>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</si>
  <si>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</si>
  <si>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</si>
  <si>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</si>
  <si>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</si>
  <si>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</si>
  <si>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</si>
  <si>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</si>
  <si>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</si>
  <si>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</si>
  <si>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</si>
  <si>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</si>
  <si>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</si>
  <si>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</si>
  <si>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</si>
  <si>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</si>
  <si>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</si>
  <si>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</si>
  <si>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</si>
  <si>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</si>
  <si>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</si>
  <si>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</si>
  <si>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</si>
  <si>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</si>
  <si>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</si>
  <si>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</si>
  <si>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</si>
  <si>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</si>
  <si>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</si>
  <si>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</si>
  <si>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</si>
  <si>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</si>
  <si>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</si>
  <si>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</si>
  <si>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</si>
  <si>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</si>
  <si>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</si>
  <si>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</si>
  <si>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</si>
  <si>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</si>
  <si>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</si>
  <si>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</si>
  <si>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</si>
  <si>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</si>
  <si>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</si>
  <si>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</si>
  <si>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</si>
  <si>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</si>
  <si>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</si>
  <si>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</si>
  <si>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</si>
  <si>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</si>
  <si>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</si>
  <si>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</si>
  <si>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</si>
  <si>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</si>
  <si>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</si>
  <si>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</si>
  <si>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</si>
  <si>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</si>
  <si>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</si>
  <si>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</si>
  <si>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</si>
  <si>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</si>
  <si>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</si>
  <si>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</si>
  <si>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</si>
  <si>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</si>
  <si>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</si>
  <si>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</si>
  <si>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</si>
  <si>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</si>
  <si>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</si>
  <si>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</si>
  <si>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</si>
  <si>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</si>
  <si>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</si>
  <si>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</si>
  <si>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</si>
  <si>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</si>
  <si>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</si>
  <si>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</si>
  <si>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</si>
  <si>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</si>
  <si>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</si>
  <si>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</si>
  <si>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</si>
  <si>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</si>
  <si>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</si>
  <si>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</si>
  <si>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</si>
  <si>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</si>
  <si>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</si>
  <si>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</si>
  <si>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</si>
  <si>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</si>
  <si>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</si>
  <si>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</si>
  <si>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</si>
  <si>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</si>
  <si>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</si>
  <si>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</si>
  <si>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</si>
  <si>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</si>
  <si>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</si>
  <si>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</si>
  <si>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</si>
  <si>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</si>
  <si>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</si>
  <si>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</si>
  <si>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</si>
  <si>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</si>
  <si>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</si>
  <si>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</si>
  <si>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</si>
  <si>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</si>
  <si>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</si>
  <si>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</si>
  <si>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</si>
  <si>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</si>
  <si>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</si>
  <si>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</si>
  <si>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</si>
  <si>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</si>
  <si>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</si>
  <si>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</si>
  <si>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</si>
  <si>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</si>
  <si>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</si>
  <si>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</si>
  <si>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</si>
  <si>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</si>
  <si>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</si>
  <si>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</si>
  <si>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</si>
  <si>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</si>
  <si>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</si>
  <si>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</si>
  <si>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</si>
  <si>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</si>
  <si>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</si>
  <si>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</si>
  <si>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</si>
  <si>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</si>
  <si>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</si>
  <si>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</si>
  <si>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</si>
  <si>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</si>
  <si>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</si>
  <si>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</si>
  <si>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</si>
  <si>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</si>
  <si>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</si>
  <si>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</si>
  <si>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</si>
  <si>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</si>
  <si>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</si>
  <si>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</si>
  <si>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</si>
  <si>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</si>
  <si>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</si>
  <si>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</si>
  <si>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</si>
  <si>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</si>
  <si>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</si>
  <si>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</si>
  <si>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</si>
  <si>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</si>
  <si>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</si>
  <si>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</si>
  <si>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</si>
  <si>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</si>
  <si>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</si>
  <si>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</si>
  <si>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</si>
  <si>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</si>
  <si>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</si>
  <si>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</si>
  <si>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</si>
  <si>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</si>
  <si>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</si>
  <si>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</si>
  <si>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</si>
  <si>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</si>
  <si>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</si>
  <si>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</si>
  <si>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</si>
  <si>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</si>
  <si>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</si>
  <si>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</si>
  <si>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</si>
  <si>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</si>
  <si>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</si>
  <si>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</si>
  <si>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</si>
  <si>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</si>
  <si>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</si>
  <si>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</si>
  <si>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</si>
  <si>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</si>
  <si>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</si>
  <si>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</si>
  <si>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</si>
  <si>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</si>
  <si>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</si>
  <si>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</si>
  <si>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</si>
  <si>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</si>
  <si>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</si>
  <si>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</si>
  <si>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</si>
  <si>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</si>
  <si>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</si>
  <si>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</si>
  <si>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</si>
  <si>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</si>
  <si>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</si>
  <si>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</si>
  <si>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</si>
  <si>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</si>
  <si>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</si>
  <si>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</si>
  <si>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</si>
  <si>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</si>
  <si>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</si>
  <si>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</si>
  <si>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</si>
  <si>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</si>
  <si>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</si>
  <si>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</si>
  <si>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</si>
  <si>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</si>
  <si>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</si>
  <si>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</si>
  <si>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</si>
  <si>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</si>
  <si>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</si>
  <si>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</si>
  <si>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</si>
  <si>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</si>
  <si>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</si>
  <si>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</si>
  <si>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</si>
  <si>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</si>
  <si>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</si>
  <si>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</si>
  <si>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</si>
  <si>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</si>
  <si>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</si>
  <si>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</si>
  <si>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</si>
  <si>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</si>
  <si>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</si>
  <si>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</si>
  <si>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</si>
  <si>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</si>
  <si>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</si>
  <si>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</si>
  <si>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</si>
  <si>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</si>
  <si>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</si>
  <si>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</si>
  <si>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</si>
  <si>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</si>
  <si>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</si>
  <si>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</si>
  <si>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</si>
  <si>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</si>
  <si>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</si>
  <si>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</si>
  <si>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</si>
  <si>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</si>
  <si>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</si>
  <si>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</si>
  <si>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</si>
  <si>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</si>
  <si>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</si>
  <si>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</si>
  <si>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</si>
  <si>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</si>
  <si>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</si>
  <si>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</si>
  <si>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</si>
  <si>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</si>
  <si>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</si>
  <si>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</si>
  <si>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</si>
  <si>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</si>
  <si>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</si>
  <si>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</si>
  <si>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</si>
  <si>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</si>
  <si>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</si>
  <si>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</si>
  <si>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</si>
  <si>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</si>
  <si>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</si>
  <si>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</si>
  <si>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</si>
  <si>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</si>
  <si>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</si>
  <si>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</si>
  <si>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</si>
  <si>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</si>
  <si>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</si>
  <si>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</si>
  <si>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</si>
  <si>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</si>
  <si>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</si>
  <si>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</si>
  <si>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</si>
  <si>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</si>
  <si>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</si>
  <si>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</si>
  <si>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</si>
  <si>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</si>
  <si>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</si>
  <si>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</si>
  <si>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</si>
  <si>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</si>
  <si>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</si>
  <si>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</si>
  <si>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</si>
  <si>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</si>
  <si>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</si>
  <si>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</si>
  <si>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</si>
  <si>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</si>
  <si>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</si>
  <si>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</si>
  <si>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</si>
  <si>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</si>
  <si>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</si>
  <si>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</si>
  <si>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</si>
  <si>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</si>
  <si>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</si>
  <si>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</si>
  <si>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</si>
  <si>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</si>
  <si>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</si>
  <si>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</si>
  <si>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</si>
  <si>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</si>
  <si>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</si>
  <si>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</si>
  <si>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</si>
  <si>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</si>
  <si>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</si>
  <si>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</si>
  <si>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</si>
  <si>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</si>
  <si>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</si>
  <si>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</si>
  <si>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</si>
  <si>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</si>
  <si>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</si>
  <si>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</si>
  <si>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</si>
  <si>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</si>
  <si>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</si>
  <si>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</si>
  <si>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</si>
  <si>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</si>
  <si>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</si>
  <si>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</si>
  <si>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</si>
  <si>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</si>
  <si>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</si>
  <si>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</si>
  <si>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</si>
  <si>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</si>
  <si>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</si>
  <si>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</si>
  <si>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</si>
  <si>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</si>
  <si>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</si>
  <si>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</si>
  <si>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</si>
  <si>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</si>
  <si>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</si>
  <si>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</si>
  <si>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</si>
  <si>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</si>
  <si>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</si>
  <si>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</si>
  <si>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</si>
  <si>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</si>
  <si>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</si>
  <si>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</si>
  <si>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</si>
  <si>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</si>
  <si>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</si>
  <si>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</si>
  <si>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</si>
  <si>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</si>
  <si>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</si>
  <si>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</si>
  <si>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</si>
  <si>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</si>
  <si>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</si>
  <si>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</si>
  <si>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</si>
  <si>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</si>
  <si>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</si>
  <si>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</si>
  <si>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</si>
  <si>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</si>
  <si>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</si>
  <si>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</si>
  <si>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</si>
  <si>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</si>
  <si>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</si>
  <si>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</si>
  <si>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</si>
  <si>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</si>
  <si>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</si>
  <si>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</si>
  <si>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</si>
  <si>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</si>
  <si>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</si>
  <si>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</si>
  <si>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</si>
  <si>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</si>
  <si>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</si>
  <si>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</si>
  <si>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</si>
  <si>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</si>
  <si>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</si>
  <si>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</si>
  <si>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</si>
  <si>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</si>
  <si>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</si>
  <si>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</si>
  <si>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</si>
  <si>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</si>
  <si>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</si>
  <si>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</si>
  <si>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</si>
  <si>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</si>
  <si>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</si>
  <si>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</si>
  <si>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</si>
  <si>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</si>
  <si>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</si>
  <si>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</si>
  <si>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</si>
  <si>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</si>
  <si>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</si>
  <si>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</si>
  <si>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</si>
  <si>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</si>
  <si>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</si>
  <si>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</si>
  <si>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</si>
  <si>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</si>
  <si>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</si>
  <si>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</si>
  <si>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</si>
  <si>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</si>
  <si>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</si>
  <si>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</si>
  <si>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</si>
  <si>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</si>
  <si>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</si>
  <si>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</si>
  <si>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</si>
  <si>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</si>
  <si>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</si>
  <si>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</si>
  <si>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</si>
  <si>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</si>
  <si>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</si>
  <si>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</si>
  <si>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</si>
  <si>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</si>
  <si>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</si>
  <si>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</si>
  <si>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</si>
  <si>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</si>
  <si>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</si>
  <si>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</si>
  <si>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</si>
  <si>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</si>
  <si>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</si>
  <si>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</si>
  <si>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</si>
  <si>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</si>
  <si>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</si>
  <si>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</si>
  <si>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</si>
  <si>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</si>
  <si>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</si>
  <si>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</si>
  <si>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</si>
  <si>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</si>
  <si>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</si>
  <si>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</si>
  <si>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</si>
  <si>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</si>
  <si>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</si>
  <si>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</si>
  <si>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</si>
  <si>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</si>
  <si>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</si>
  <si>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</si>
  <si>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</si>
  <si>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</si>
  <si>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</si>
  <si>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</si>
  <si>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</si>
  <si>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</si>
  <si>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</si>
  <si>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</si>
  <si>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</si>
  <si>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</si>
  <si>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</si>
  <si>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</si>
  <si>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</si>
  <si>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</si>
  <si>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</si>
  <si>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</si>
  <si>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</si>
  <si>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</si>
  <si>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</si>
  <si>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</si>
  <si>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</si>
  <si>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</si>
  <si>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</si>
  <si>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</si>
  <si>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</si>
  <si>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</si>
  <si>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</si>
  <si>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</si>
  <si>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</si>
  <si>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</si>
  <si>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</si>
  <si>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</si>
  <si>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</si>
  <si>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</si>
  <si>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</si>
  <si>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</si>
  <si>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</si>
  <si>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</si>
  <si>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</si>
  <si>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</si>
  <si>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</si>
  <si>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</si>
  <si>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</si>
  <si>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</si>
  <si>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</si>
  <si>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</si>
  <si>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</si>
  <si>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</si>
  <si>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</si>
  <si>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</si>
  <si>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</si>
  <si>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</si>
  <si>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</si>
  <si>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</si>
  <si>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</si>
  <si>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</si>
  <si>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</si>
  <si>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</si>
  <si>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</si>
  <si>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</si>
  <si>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</si>
  <si>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</si>
  <si>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</si>
  <si>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</si>
  <si>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</si>
  <si>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</si>
  <si>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</si>
  <si>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</si>
  <si>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</si>
  <si>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</si>
  <si>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</si>
  <si>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</si>
  <si>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</si>
  <si>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</si>
  <si>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</si>
  <si>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</si>
  <si>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</si>
  <si>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</si>
  <si>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</si>
  <si>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</si>
  <si>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</si>
  <si>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</si>
  <si>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</si>
  <si>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</si>
  <si>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</si>
  <si>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</si>
  <si>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</si>
  <si>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</si>
  <si>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</si>
  <si>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</si>
  <si>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</si>
  <si>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</si>
  <si>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</si>
  <si>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</si>
  <si>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</si>
  <si>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</si>
  <si>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</si>
  <si>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</si>
  <si>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</si>
  <si>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</si>
  <si>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</si>
  <si>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</si>
  <si>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</si>
  <si>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</si>
  <si>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</si>
  <si>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</si>
  <si>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</si>
  <si>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</si>
  <si>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</si>
  <si>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</si>
  <si>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</si>
  <si>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</si>
  <si>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</si>
  <si>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</si>
  <si>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</si>
  <si>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</si>
  <si>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</si>
  <si>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</si>
  <si>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</si>
  <si>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</si>
  <si>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</si>
  <si>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</si>
  <si>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</si>
  <si>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</si>
  <si>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</si>
  <si>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</si>
  <si>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</si>
  <si>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</si>
  <si>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</si>
  <si>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</si>
  <si>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</si>
  <si>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</si>
  <si>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</si>
  <si>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</si>
  <si>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</si>
  <si>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</si>
  <si>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</si>
  <si>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</si>
  <si>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</si>
  <si>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</si>
  <si>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</si>
  <si>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</si>
  <si>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</si>
  <si>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</si>
  <si>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</si>
  <si>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</si>
  <si>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</si>
  <si>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</si>
  <si>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</si>
  <si>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</si>
  <si>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</si>
  <si>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</si>
  <si>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</si>
  <si>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</si>
  <si>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</si>
  <si>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</si>
  <si>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</si>
  <si>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</si>
  <si>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</si>
  <si>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</si>
  <si>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</si>
  <si>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</si>
  <si>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</si>
  <si>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</si>
  <si>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</si>
  <si>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</si>
  <si>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</si>
  <si>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</si>
  <si>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</si>
  <si>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</si>
  <si>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</si>
  <si>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</si>
  <si>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</si>
  <si>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</si>
  <si>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</si>
  <si>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</si>
  <si>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</si>
  <si>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</si>
  <si>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</si>
  <si>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</si>
  <si>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</si>
  <si>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</si>
  <si>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</si>
  <si>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</si>
  <si>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</si>
  <si>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</si>
  <si>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</si>
  <si>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</si>
  <si>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</si>
  <si>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</si>
  <si>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</si>
  <si>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</si>
  <si>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</si>
  <si>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</si>
  <si>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</si>
  <si>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</si>
  <si>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</si>
  <si>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</si>
  <si>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</si>
  <si>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</si>
  <si>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</si>
  <si>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</si>
  <si>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</si>
  <si>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</si>
  <si>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</si>
  <si>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</si>
  <si>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</si>
  <si>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</si>
  <si>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</si>
  <si>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</si>
  <si>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</si>
  <si>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</si>
  <si>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</si>
  <si>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</si>
  <si>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</si>
  <si>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</si>
  <si>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</si>
  <si>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</si>
  <si>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</si>
  <si>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</si>
  <si>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</si>
  <si>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</si>
  <si>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</si>
  <si>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</si>
  <si>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</si>
  <si>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</si>
  <si>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</si>
  <si>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</si>
  <si>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</si>
  <si>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</si>
  <si>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</si>
  <si>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</si>
  <si>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</si>
  <si>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</si>
  <si>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</si>
  <si>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</si>
  <si>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</si>
  <si>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</si>
  <si>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</si>
  <si>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</si>
  <si>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</si>
  <si>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</si>
  <si>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</si>
  <si>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</si>
  <si>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</si>
  <si>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</si>
  <si>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</si>
  <si>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</si>
  <si>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</si>
  <si>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</si>
  <si>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</si>
  <si>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</si>
  <si>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</si>
  <si>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</si>
  <si>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</si>
  <si>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</si>
  <si>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</si>
  <si>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</si>
  <si>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</si>
  <si>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</si>
  <si>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</si>
  <si>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</si>
  <si>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</si>
  <si>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</si>
  <si>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</si>
  <si>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</si>
  <si>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</si>
  <si>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</si>
  <si>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</si>
  <si>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</si>
  <si>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</si>
  <si>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</si>
  <si>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</si>
  <si>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</si>
  <si>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</si>
  <si>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</si>
  <si>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</si>
  <si>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</si>
  <si>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</si>
  <si>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</si>
  <si>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</si>
  <si>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</si>
  <si>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</si>
  <si>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</si>
  <si>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</si>
  <si>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</si>
  <si>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</si>
  <si>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</si>
  <si>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</si>
  <si>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</si>
  <si>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</si>
  <si>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</si>
  <si>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</si>
  <si>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</si>
  <si>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</si>
  <si>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</si>
  <si>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</si>
  <si>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</si>
  <si>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</si>
  <si>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</si>
  <si>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</si>
  <si>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</si>
  <si>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</si>
  <si>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</si>
  <si>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</si>
  <si>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</si>
  <si>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</si>
  <si>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</si>
  <si>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</si>
  <si>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</si>
  <si>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</si>
  <si>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</si>
  <si>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</si>
  <si>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</si>
  <si>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</si>
  <si>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</si>
  <si>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</si>
  <si>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</si>
  <si>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</si>
  <si>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</si>
  <si>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</si>
  <si>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</si>
  <si>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</si>
  <si>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</si>
  <si>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</si>
  <si>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</si>
  <si>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</si>
  <si>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</si>
  <si>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</si>
  <si>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</si>
  <si>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</si>
  <si>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</si>
  <si>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</si>
  <si>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</si>
  <si>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</si>
  <si>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</si>
  <si>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</si>
  <si>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</si>
  <si>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</si>
  <si>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</si>
  <si>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</si>
  <si>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</si>
  <si>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</si>
  <si>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</si>
  <si>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</si>
  <si>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</si>
  <si>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</si>
  <si>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</si>
  <si>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</si>
  <si>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</si>
  <si>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</si>
  <si>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</si>
  <si>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</si>
  <si>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</si>
  <si>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</si>
  <si>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</si>
  <si>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</si>
  <si>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</si>
  <si>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</si>
  <si>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</si>
  <si>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</si>
  <si>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</si>
  <si>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</si>
  <si>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</si>
  <si>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</si>
  <si>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</si>
  <si>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</si>
  <si>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</si>
  <si>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</si>
  <si>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</si>
  <si>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</si>
  <si>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</si>
  <si>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</si>
  <si>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</si>
  <si>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</si>
  <si>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</si>
  <si>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</si>
  <si>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</si>
  <si>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</si>
  <si>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</si>
  <si>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</si>
  <si>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</si>
  <si>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</si>
  <si>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</si>
  <si>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</si>
  <si>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</si>
  <si>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</si>
  <si>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</si>
  <si>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</si>
  <si>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</si>
  <si>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</si>
  <si>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</si>
  <si>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</si>
  <si>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</si>
  <si>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</si>
  <si>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</si>
  <si>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</si>
  <si>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</si>
  <si>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</si>
  <si>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</si>
  <si>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</si>
  <si>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</si>
  <si>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</si>
  <si>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</si>
  <si>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</si>
  <si>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</si>
  <si>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</si>
  <si>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</si>
  <si>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</si>
  <si>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</si>
  <si>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</si>
  <si>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</si>
  <si>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</si>
  <si>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</si>
  <si>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</si>
  <si>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</si>
  <si>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</si>
  <si>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</si>
  <si>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</si>
  <si>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</si>
  <si>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</si>
  <si>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</si>
  <si>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</si>
  <si>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</si>
  <si>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</si>
  <si>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</si>
  <si>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</si>
  <si>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</si>
  <si>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</si>
  <si>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</si>
  <si>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</si>
  <si>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</si>
  <si>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</si>
  <si>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</si>
  <si>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</si>
  <si>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</si>
  <si>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</si>
  <si>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</si>
  <si>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</si>
  <si>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</si>
  <si>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</si>
  <si>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</si>
  <si>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</si>
  <si>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</si>
  <si>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</si>
  <si>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</si>
  <si>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</si>
  <si>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</si>
  <si>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</si>
  <si>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</si>
  <si>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</si>
  <si>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</si>
  <si>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</si>
  <si>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</si>
  <si>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</si>
  <si>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</si>
  <si>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</si>
  <si>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</si>
  <si>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</si>
  <si>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</si>
  <si>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</si>
  <si>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</si>
  <si>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</si>
  <si>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</si>
  <si>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</si>
  <si>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</si>
  <si>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</si>
  <si>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</si>
  <si>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</si>
  <si>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</si>
  <si>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</si>
  <si>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</si>
  <si>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</si>
  <si>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</si>
  <si>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</si>
  <si>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</si>
  <si>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</si>
  <si>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</si>
  <si>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</si>
  <si>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</si>
  <si>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</si>
  <si>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</si>
  <si>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</si>
  <si>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</si>
  <si>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</si>
  <si>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</si>
  <si>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</si>
  <si>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</si>
  <si>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</si>
  <si>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</si>
  <si>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</si>
  <si>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</si>
  <si>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</si>
  <si>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</si>
  <si>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</si>
  <si>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</si>
  <si>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</si>
  <si>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</si>
  <si>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</si>
  <si>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</si>
  <si>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</si>
  <si>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</si>
  <si>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</si>
  <si>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</si>
  <si>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</si>
  <si>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</si>
  <si>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</si>
  <si>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</si>
  <si>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</si>
  <si>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</si>
  <si>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</si>
  <si>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</si>
  <si>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</si>
  <si>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</si>
  <si>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</si>
  <si>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</si>
  <si>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</si>
  <si>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</si>
  <si>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</si>
  <si>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</si>
  <si>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</si>
  <si>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</si>
  <si>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</si>
  <si>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</si>
  <si>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</si>
  <si>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</si>
  <si>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</si>
  <si>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</si>
  <si>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</si>
  <si>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</si>
  <si>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</si>
  <si>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</si>
  <si>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</si>
  <si>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</si>
  <si>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</si>
  <si>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</si>
  <si>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</si>
  <si>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</si>
  <si>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</si>
  <si>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</si>
  <si>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</si>
  <si>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</si>
  <si>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</si>
  <si>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</si>
  <si>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</si>
  <si>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</si>
  <si>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</si>
  <si>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</si>
  <si>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</si>
  <si>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</si>
  <si>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</si>
  <si>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</si>
  <si>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</si>
  <si>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</si>
  <si>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</si>
  <si>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</si>
  <si>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</si>
  <si>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</si>
  <si>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</si>
  <si>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</si>
  <si>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</si>
  <si>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</si>
  <si>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</si>
  <si>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</si>
  <si>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</si>
  <si>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</si>
  <si>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</si>
  <si>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</si>
  <si>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</si>
  <si>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</si>
  <si>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</si>
  <si>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</si>
  <si>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</si>
  <si>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</si>
  <si>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</si>
  <si>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</si>
  <si>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</si>
  <si>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</si>
  <si>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</si>
  <si>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</si>
  <si>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</si>
  <si>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</si>
  <si>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</si>
  <si>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</si>
  <si>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</si>
  <si>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</si>
  <si>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</si>
  <si>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</si>
  <si>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</si>
  <si>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</si>
  <si>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</si>
  <si>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</si>
  <si>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</si>
  <si>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</si>
  <si>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</si>
  <si>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</si>
  <si>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</si>
  <si>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</si>
  <si>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</si>
  <si>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</si>
  <si>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</si>
  <si>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</si>
  <si>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</si>
  <si>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</si>
  <si>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</si>
  <si>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</si>
  <si>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</si>
  <si>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</si>
  <si>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</si>
  <si>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</si>
  <si>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</si>
  <si>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</si>
  <si>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</si>
  <si>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</si>
  <si>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</si>
  <si>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</si>
  <si>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</si>
  <si>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</si>
  <si>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</si>
  <si>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</si>
  <si>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</si>
  <si>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</si>
  <si>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</si>
  <si>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</si>
  <si>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</si>
  <si>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</si>
  <si>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</si>
  <si>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</si>
  <si>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</si>
  <si>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</si>
  <si>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</si>
  <si>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</si>
  <si>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</si>
  <si>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</si>
  <si>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</si>
  <si>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</si>
  <si>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</si>
  <si>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</si>
  <si>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</si>
  <si>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</si>
  <si>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</si>
  <si>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</si>
  <si>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</si>
  <si>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</si>
  <si>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</si>
  <si>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</si>
  <si>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</si>
  <si>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</si>
  <si>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</si>
  <si>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</si>
  <si>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</si>
  <si>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</si>
  <si>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</si>
  <si>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</si>
  <si>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</si>
  <si>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</si>
  <si>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</si>
  <si>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</si>
  <si>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</si>
  <si>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</si>
  <si>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</si>
  <si>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</si>
  <si>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</si>
  <si>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</si>
  <si>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</si>
  <si>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</si>
  <si>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</si>
  <si>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</si>
  <si>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</si>
  <si>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</si>
  <si>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</si>
  <si>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</si>
  <si>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</si>
  <si>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</si>
  <si>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</si>
  <si>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</si>
  <si>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</si>
  <si>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</si>
  <si>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</si>
  <si>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</si>
  <si>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</si>
  <si>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</si>
  <si>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</si>
  <si>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</si>
  <si>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</si>
  <si>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</si>
  <si>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</si>
  <si>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</si>
  <si>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</si>
  <si>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</si>
  <si>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</si>
  <si>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</si>
  <si>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</si>
  <si>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</si>
  <si>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</si>
  <si>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</si>
  <si>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</si>
  <si>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</si>
  <si>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</si>
  <si>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</si>
  <si>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</si>
  <si>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</si>
  <si>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</si>
  <si>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</si>
  <si>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</si>
  <si>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</si>
  <si>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</si>
  <si>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</si>
  <si>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</si>
  <si>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</si>
  <si>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</si>
  <si>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</si>
  <si>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</si>
  <si>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</si>
  <si>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</si>
  <si>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</si>
  <si>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</si>
  <si>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</si>
  <si>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</si>
  <si>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</si>
  <si>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</si>
  <si>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</si>
  <si>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</si>
  <si>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</si>
  <si>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</si>
  <si>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</si>
  <si>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</si>
  <si>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</si>
  <si>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</si>
  <si>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</si>
  <si>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</si>
  <si>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</si>
  <si>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</si>
  <si>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</si>
  <si>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</si>
  <si>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</si>
  <si>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</si>
  <si>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</si>
  <si>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</si>
  <si>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</si>
  <si>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</si>
  <si>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</si>
  <si>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</si>
  <si>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</si>
  <si>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</si>
  <si>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</si>
  <si>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</si>
  <si>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</si>
  <si>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</si>
  <si>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</si>
  <si>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</si>
  <si>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</si>
  <si>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</si>
  <si>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</si>
  <si>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</si>
  <si>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</si>
  <si>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</si>
  <si>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</si>
  <si>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</si>
  <si>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</si>
  <si>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</si>
  <si>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</si>
  <si>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</si>
  <si>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</si>
  <si>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</si>
  <si>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</si>
  <si>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</si>
  <si>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</si>
  <si>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</si>
  <si>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</si>
  <si>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</si>
  <si>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</si>
  <si>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</si>
  <si>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</si>
  <si>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</si>
  <si>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</si>
  <si>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</si>
  <si>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</si>
  <si>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</si>
  <si>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</si>
  <si>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</si>
  <si>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</si>
  <si>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</si>
  <si>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</si>
  <si>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</si>
  <si>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</si>
  <si>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</si>
  <si>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</si>
  <si>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</si>
  <si>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</si>
  <si>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</si>
  <si>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</si>
  <si>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</si>
  <si>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</si>
  <si>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</si>
  <si>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</si>
  <si>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</si>
  <si>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</si>
  <si>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</si>
  <si>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</si>
  <si>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</si>
  <si>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</si>
  <si>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</si>
  <si>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</si>
  <si>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</si>
  <si>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</si>
  <si>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</si>
  <si>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</si>
  <si>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</si>
  <si>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</si>
  <si>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</si>
  <si>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</si>
  <si>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</si>
  <si>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</si>
  <si>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</si>
  <si>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</si>
  <si>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</si>
  <si>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</si>
  <si>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</si>
  <si>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</si>
  <si>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</si>
  <si>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</si>
  <si>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</si>
  <si>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</si>
  <si>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</si>
  <si>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</si>
  <si>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</si>
  <si>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</si>
  <si>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</si>
  <si>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</si>
  <si>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</si>
  <si>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</si>
  <si>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</si>
  <si>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</si>
  <si>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</si>
  <si>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</si>
  <si>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</si>
  <si>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</si>
  <si>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</si>
  <si>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</si>
  <si>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</si>
  <si>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</si>
  <si>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</si>
  <si>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</si>
  <si>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</si>
  <si>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</si>
  <si>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</si>
  <si>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</si>
  <si>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</si>
  <si>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</si>
  <si>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</si>
  <si>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</si>
  <si>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</si>
  <si>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</si>
  <si>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</si>
  <si>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</si>
  <si>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</si>
  <si>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</si>
  <si>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</si>
  <si>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</si>
  <si>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</si>
  <si>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</si>
  <si>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</si>
  <si>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</si>
  <si>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</si>
  <si>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</si>
  <si>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</si>
  <si>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</si>
  <si>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</si>
  <si>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</si>
  <si>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</si>
  <si>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</si>
  <si>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</si>
  <si>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</si>
  <si>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</si>
  <si>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</si>
  <si>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</si>
  <si>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</si>
  <si>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</si>
  <si>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</si>
  <si>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</si>
  <si>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</si>
  <si>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</si>
  <si>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</si>
  <si>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</si>
  <si>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</si>
  <si>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</si>
  <si>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</si>
  <si>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</si>
  <si>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</si>
  <si>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</si>
  <si>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</si>
  <si>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</si>
  <si>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</si>
  <si>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</si>
  <si>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</si>
  <si>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</si>
  <si>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</si>
  <si>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</si>
  <si>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</si>
  <si>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</si>
  <si>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</si>
  <si>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</si>
  <si>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</si>
  <si>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</si>
  <si>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</si>
  <si>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</si>
  <si>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</si>
  <si>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</si>
  <si>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</si>
  <si>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</si>
  <si>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</si>
  <si>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</si>
  <si>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</si>
  <si>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</si>
  <si>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</si>
  <si>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</si>
  <si>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</si>
  <si>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</si>
  <si>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</si>
  <si>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</si>
  <si>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</si>
  <si>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</si>
  <si>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</si>
  <si>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</si>
  <si>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</si>
  <si>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</si>
  <si>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</si>
  <si>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</si>
  <si>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</si>
  <si>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</si>
  <si>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</si>
  <si>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</si>
  <si>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</si>
  <si>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</si>
  <si>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</si>
  <si>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</si>
  <si>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</si>
  <si>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</si>
  <si>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</si>
  <si>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</si>
  <si>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</si>
  <si>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</si>
  <si>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</si>
  <si>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</si>
  <si>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</si>
  <si>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</si>
  <si>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</si>
  <si>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</si>
  <si>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</si>
  <si>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</si>
  <si>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</si>
  <si>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</si>
  <si>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</si>
  <si>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</si>
  <si>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</si>
  <si>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</si>
  <si>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</si>
  <si>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</si>
  <si>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</si>
  <si>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</si>
  <si>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</si>
  <si>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</si>
  <si>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</si>
  <si>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</si>
  <si>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</si>
  <si>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</si>
  <si>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</si>
  <si>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</si>
  <si>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</si>
  <si>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</si>
  <si>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</si>
  <si>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</si>
  <si>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</si>
  <si>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</si>
  <si>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</si>
  <si>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</si>
  <si>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</si>
  <si>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</si>
  <si>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</si>
  <si>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</si>
  <si>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</si>
  <si>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</si>
  <si>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</si>
  <si>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</si>
  <si>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</si>
  <si>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</si>
  <si>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</si>
  <si>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</si>
  <si>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</si>
  <si>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</si>
  <si>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</si>
  <si>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</si>
  <si>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</si>
  <si>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</si>
  <si>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</si>
  <si>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</si>
  <si>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</si>
  <si>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</si>
  <si>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</si>
  <si>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</si>
  <si>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</si>
  <si>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</si>
  <si>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</si>
  <si>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</si>
  <si>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</si>
  <si>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</si>
  <si>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</si>
  <si>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</si>
  <si>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</si>
  <si>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</si>
  <si>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</si>
  <si>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</si>
  <si>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</si>
  <si>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</si>
  <si>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</si>
  <si>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</si>
  <si>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</si>
  <si>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</si>
  <si>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</si>
  <si>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</si>
  <si>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</si>
  <si>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</si>
  <si>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</si>
  <si>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</si>
  <si>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</si>
  <si>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</si>
  <si>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</si>
  <si>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</si>
  <si>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</si>
  <si>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</si>
  <si>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</si>
  <si>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</si>
  <si>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</si>
  <si>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</si>
  <si>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</si>
  <si>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</si>
  <si>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</si>
  <si>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</si>
  <si>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</si>
  <si>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</si>
  <si>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</si>
  <si>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</si>
  <si>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</si>
  <si>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</si>
  <si>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</si>
  <si>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</si>
  <si>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</si>
  <si>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</si>
  <si>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</si>
  <si>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</si>
  <si>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</si>
  <si>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</si>
  <si>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</si>
  <si>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</si>
  <si>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</si>
  <si>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</si>
  <si>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</si>
  <si>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</si>
  <si>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</si>
  <si>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</si>
  <si>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</si>
  <si>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</si>
  <si>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</si>
  <si>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</si>
  <si>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</si>
  <si>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</si>
  <si>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</si>
  <si>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</si>
  <si>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</si>
  <si>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</si>
  <si>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</si>
  <si>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</si>
  <si>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</si>
  <si>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</si>
  <si>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</si>
  <si>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</si>
  <si>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</si>
  <si>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</si>
  <si>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</si>
  <si>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</si>
  <si>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</si>
  <si>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</si>
  <si>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</si>
  <si>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</si>
  <si>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</si>
  <si>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</si>
  <si>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</si>
  <si>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</si>
  <si>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</si>
  <si>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</si>
  <si>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</si>
  <si>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</si>
  <si>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</si>
  <si>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</si>
  <si>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</si>
  <si>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</si>
  <si>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</si>
  <si>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</si>
  <si>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</si>
  <si>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</si>
  <si>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</si>
  <si>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</si>
  <si>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</si>
  <si>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</si>
  <si>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</si>
  <si>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</si>
  <si>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</si>
  <si>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</si>
  <si>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</si>
  <si>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</si>
  <si>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</si>
  <si>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</si>
  <si>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</si>
  <si>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</si>
  <si>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</si>
  <si>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</si>
  <si>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</si>
  <si>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</si>
  <si>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</si>
  <si>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</si>
  <si>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</si>
  <si>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</si>
  <si>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</si>
  <si>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</si>
  <si>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</si>
  <si>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</si>
  <si>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</si>
  <si>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</si>
  <si>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</si>
  <si>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</si>
  <si>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</si>
  <si>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</si>
  <si>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</si>
  <si>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</si>
  <si>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</si>
  <si>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</si>
  <si>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</si>
  <si>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</si>
  <si>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</si>
  <si>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</si>
  <si>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</si>
  <si>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</si>
  <si>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</si>
  <si>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</si>
  <si>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</si>
  <si>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</si>
  <si>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</si>
  <si>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</si>
  <si>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</si>
  <si>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</si>
  <si>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</si>
  <si>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</si>
  <si>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</si>
  <si>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</si>
  <si>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</si>
  <si>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</si>
  <si>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</si>
  <si>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</si>
  <si>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</si>
  <si>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</si>
  <si>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</si>
  <si>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</si>
  <si>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</si>
  <si>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</si>
  <si>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</si>
  <si>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</si>
  <si>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</si>
  <si>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</si>
  <si>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</si>
  <si>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</si>
  <si>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</si>
  <si>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</si>
  <si>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</si>
  <si>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</si>
  <si>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</si>
  <si>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</si>
  <si>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</si>
  <si>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</si>
  <si>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</si>
  <si>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</si>
  <si>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</si>
  <si>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</si>
  <si>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</si>
  <si>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</si>
  <si>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</si>
  <si>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</si>
  <si>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</si>
  <si>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</si>
  <si>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</si>
  <si>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</si>
  <si>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</si>
  <si>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</si>
  <si>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</si>
  <si>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</si>
  <si>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</si>
  <si>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</si>
  <si>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</si>
  <si>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</si>
  <si>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</si>
  <si>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</si>
  <si>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</si>
  <si>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</si>
  <si>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</si>
  <si>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</si>
  <si>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</si>
  <si>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</si>
  <si>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</si>
  <si>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</si>
  <si>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</si>
  <si>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</si>
  <si>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</si>
  <si>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</si>
  <si>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</si>
  <si>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</si>
  <si>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</si>
  <si>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</si>
  <si>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</si>
  <si>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</si>
  <si>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</si>
  <si>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</si>
  <si>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</si>
  <si>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</si>
  <si>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</si>
  <si>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</si>
  <si>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</si>
  <si>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</si>
  <si>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</si>
  <si>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</si>
  <si>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</si>
  <si>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</si>
  <si>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</si>
  <si>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</si>
  <si>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</si>
  <si>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</si>
  <si>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</si>
  <si>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</si>
  <si>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</si>
  <si>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</si>
  <si>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</si>
  <si>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</si>
  <si>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</si>
  <si>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</si>
  <si>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</si>
  <si>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</si>
  <si>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</si>
  <si>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</si>
  <si>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</si>
  <si>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</si>
  <si>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</si>
  <si>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</si>
  <si>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</si>
  <si>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</si>
  <si>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</si>
  <si>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</si>
  <si>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</si>
  <si>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</si>
  <si>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</si>
  <si>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</si>
  <si>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</si>
  <si>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</si>
  <si>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</si>
  <si>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</si>
  <si>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</si>
  <si>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</si>
  <si>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</si>
  <si>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</si>
  <si>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</si>
  <si>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</si>
  <si>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</si>
  <si>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</si>
  <si>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</si>
  <si>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</si>
  <si>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</si>
  <si>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</si>
  <si>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</si>
  <si>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</si>
  <si>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</si>
  <si>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</si>
  <si>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</si>
  <si>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</si>
  <si>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</si>
  <si>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</si>
  <si>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</si>
  <si>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</si>
  <si>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</si>
  <si>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</si>
  <si>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</si>
  <si>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</si>
  <si>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</si>
  <si>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</si>
  <si>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</si>
  <si>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</si>
  <si>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</si>
  <si>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</si>
  <si>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</si>
  <si>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</si>
  <si>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</si>
  <si>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</si>
  <si>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</si>
  <si>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</si>
  <si>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</si>
  <si>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</si>
  <si>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</si>
  <si>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</si>
  <si>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</si>
  <si>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</si>
  <si>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</si>
  <si>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</si>
  <si>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</si>
  <si>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</si>
  <si>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</si>
  <si>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</si>
  <si>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</si>
  <si>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</si>
  <si>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</si>
  <si>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</si>
  <si>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</si>
  <si>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</si>
  <si>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</si>
  <si>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</si>
  <si>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</si>
  <si>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</si>
  <si>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</si>
  <si>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 xml:space="preserve">Удельный расход отопления
</t>
    </r>
    <r>
      <rPr>
        <i/>
        <sz val="9.5"/>
        <color theme="1"/>
        <rFont val="Calibri"/>
        <family val="2"/>
        <charset val="204"/>
        <scheme val="minor"/>
      </rPr>
      <t>кВт∙час/м</t>
    </r>
    <r>
      <rPr>
        <i/>
        <vertAlign val="superscript"/>
        <sz val="9.5"/>
        <color theme="1"/>
        <rFont val="Calibri"/>
        <family val="2"/>
        <charset val="204"/>
        <scheme val="minor"/>
      </rPr>
      <t>2</t>
    </r>
    <r>
      <rPr>
        <i/>
        <sz val="9.5"/>
        <color theme="1"/>
        <rFont val="Calibri"/>
        <family val="2"/>
        <charset val="204"/>
        <scheme val="minor"/>
      </rPr>
      <t>/˚С</t>
    </r>
    <r>
      <rPr>
        <sz val="9.5"/>
        <color theme="1"/>
        <rFont val="Calibri"/>
        <family val="2"/>
        <charset val="204"/>
      </rPr>
      <t>∙</t>
    </r>
    <r>
      <rPr>
        <i/>
        <sz val="9.5"/>
        <color theme="1"/>
        <rFont val="Calibri"/>
        <family val="2"/>
        <charset val="204"/>
        <scheme val="minor"/>
      </rPr>
      <t>сут</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</si>
  <si>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</si>
  <si>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t>
    </r>
    <r>
      <rPr>
        <i/>
        <vertAlign val="superscript"/>
        <sz val="11"/>
        <color theme="1"/>
        <rFont val="Calibri"/>
        <family val="2"/>
        <charset val="204"/>
        <scheme val="minor"/>
      </rPr>
      <t>3</t>
    </r>
  </si>
  <si>
    <t>Прогнозируемое изменение класса энергоэффективности МКД после ремонта</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</si>
  <si>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</si>
  <si>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</si>
  <si>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</si>
  <si>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</si>
  <si>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</si>
  <si>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Версия: 16.12.2019.020</t>
  </si>
  <si>
    <t>дерево, спаренный</t>
  </si>
  <si>
    <t>Пермский край, Город Пермь, Новые Ляды, Мира, д.17а</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</si>
</sst>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8"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2" fillId="0" borderId="0"/>
  </cellStyleXfs>
  <cellXfs count="2619">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59"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1"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2" fillId="21" borderId="100" xfId="0" applyFont="1" applyFill="1" applyBorder="1" applyAlignment="1">
      <alignment vertical="center"/>
    </xf>
    <xf numFmtId="0" fontId="162" fillId="21" borderId="104" xfId="0" applyFont="1" applyFill="1" applyBorder="1" applyAlignment="1">
      <alignment vertical="center"/>
    </xf>
    <xf numFmtId="0" fontId="0" fillId="0" borderId="108" xfId="0" applyBorder="1"/>
    <xf numFmtId="0" fontId="0" fillId="0" borderId="100" xfId="0" applyBorder="1"/>
    <xf numFmtId="0" fontId="162"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5"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69"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69" fillId="44" borderId="4" xfId="0"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69" fillId="0" borderId="133" xfId="0" applyFont="1" applyFill="1" applyBorder="1" applyAlignment="1" applyProtection="1">
      <alignment horizontal="center" vertical="center"/>
      <protection hidden="1"/>
    </xf>
    <xf numFmtId="0" fontId="169" fillId="0" borderId="121" xfId="0" applyFont="1" applyFill="1" applyBorder="1" applyAlignment="1" applyProtection="1">
      <alignment horizontal="center" vertical="center" wrapText="1"/>
      <protection hidden="1"/>
    </xf>
    <xf numFmtId="0" fontId="169"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69"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1"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0" fillId="0" borderId="4" xfId="0" applyFont="1" applyFill="1" applyBorder="1" applyAlignment="1" applyProtection="1">
      <alignment horizontal="center" vertical="center" wrapText="1"/>
      <protection hidden="1"/>
    </xf>
    <xf numFmtId="0" fontId="183"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5" fillId="20" borderId="0" xfId="0" applyFont="1" applyFill="1" applyProtection="1">
      <protection hidden="1"/>
    </xf>
    <xf numFmtId="0" fontId="185"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59" fillId="20" borderId="0" xfId="0" applyFont="1" applyFill="1" applyBorder="1" applyAlignment="1" applyProtection="1">
      <alignment horizontal="left" vertical="center" wrapText="1" indent="1"/>
      <protection hidden="1"/>
    </xf>
    <xf numFmtId="0" fontId="172"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7"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3" fillId="5" borderId="4" xfId="11" applyFont="1" applyFill="1" applyBorder="1" applyAlignment="1" applyProtection="1">
      <alignment horizontal="center" vertical="center" wrapText="1"/>
      <protection hidden="1"/>
    </xf>
    <xf numFmtId="4" fontId="174" fillId="5" borderId="4" xfId="11" applyNumberFormat="1" applyFont="1" applyFill="1" applyBorder="1" applyAlignment="1" applyProtection="1">
      <alignment horizontal="right" vertical="center" wrapText="1" indent="1"/>
      <protection hidden="1"/>
    </xf>
    <xf numFmtId="0" fontId="173" fillId="5" borderId="5" xfId="11" applyFont="1" applyFill="1" applyBorder="1" applyAlignment="1" applyProtection="1">
      <alignment horizontal="center" vertical="center" wrapText="1"/>
      <protection hidden="1"/>
    </xf>
    <xf numFmtId="1" fontId="173" fillId="0" borderId="123" xfId="11" applyNumberFormat="1" applyFont="1" applyBorder="1" applyAlignment="1" applyProtection="1">
      <alignment horizontal="center"/>
      <protection hidden="1"/>
    </xf>
    <xf numFmtId="14" fontId="173" fillId="0" borderId="118" xfId="11" applyNumberFormat="1" applyFont="1" applyBorder="1" applyAlignment="1" applyProtection="1">
      <alignment horizontal="center" vertical="center"/>
      <protection hidden="1"/>
    </xf>
    <xf numFmtId="4" fontId="173" fillId="0" borderId="124" xfId="11" applyNumberFormat="1" applyFont="1" applyFill="1" applyBorder="1" applyAlignment="1" applyProtection="1">
      <alignment horizontal="right" vertical="center" indent="1"/>
      <protection hidden="1"/>
    </xf>
    <xf numFmtId="4" fontId="173" fillId="0" borderId="125" xfId="11" applyNumberFormat="1" applyFont="1" applyFill="1" applyBorder="1" applyAlignment="1" applyProtection="1">
      <alignment horizontal="right" vertical="center" indent="1"/>
      <protection hidden="1"/>
    </xf>
    <xf numFmtId="4" fontId="173" fillId="0" borderId="126" xfId="11" applyNumberFormat="1" applyFont="1" applyFill="1" applyBorder="1" applyAlignment="1" applyProtection="1">
      <alignment horizontal="right" vertical="center" indent="1"/>
      <protection hidden="1"/>
    </xf>
    <xf numFmtId="4" fontId="173" fillId="0" borderId="127" xfId="11" applyNumberFormat="1" applyFont="1" applyFill="1" applyBorder="1" applyAlignment="1" applyProtection="1">
      <alignment horizontal="right" vertical="center" indent="1"/>
      <protection hidden="1"/>
    </xf>
    <xf numFmtId="4" fontId="173" fillId="0" borderId="118" xfId="11" applyNumberFormat="1" applyFont="1" applyFill="1" applyBorder="1" applyAlignment="1" applyProtection="1">
      <alignment horizontal="right" vertical="center" indent="1"/>
      <protection hidden="1"/>
    </xf>
    <xf numFmtId="4" fontId="173" fillId="0" borderId="123" xfId="11" applyNumberFormat="1" applyFont="1" applyFill="1" applyBorder="1" applyAlignment="1" applyProtection="1">
      <alignment horizontal="right" vertical="center" indent="1"/>
      <protection hidden="1"/>
    </xf>
    <xf numFmtId="1" fontId="173" fillId="0" borderId="124" xfId="11" applyNumberFormat="1" applyFont="1" applyBorder="1" applyAlignment="1" applyProtection="1">
      <alignment horizontal="center"/>
      <protection hidden="1"/>
    </xf>
    <xf numFmtId="14" fontId="173" fillId="0" borderId="126" xfId="11" applyNumberFormat="1" applyFont="1" applyBorder="1" applyAlignment="1" applyProtection="1">
      <alignment horizontal="center" vertical="center"/>
      <protection hidden="1"/>
    </xf>
    <xf numFmtId="4" fontId="173" fillId="0" borderId="113" xfId="11" applyNumberFormat="1" applyFont="1" applyFill="1" applyBorder="1" applyAlignment="1" applyProtection="1">
      <alignment horizontal="right" vertical="center" indent="1"/>
      <protection hidden="1"/>
    </xf>
    <xf numFmtId="1" fontId="173" fillId="0" borderId="120" xfId="11" applyNumberFormat="1" applyFont="1" applyBorder="1" applyAlignment="1" applyProtection="1">
      <alignment horizontal="center"/>
      <protection hidden="1"/>
    </xf>
    <xf numFmtId="14" fontId="173" fillId="0" borderId="128" xfId="11" applyNumberFormat="1" applyFont="1" applyBorder="1" applyAlignment="1" applyProtection="1">
      <alignment horizontal="center" vertical="center"/>
      <protection hidden="1"/>
    </xf>
    <xf numFmtId="4" fontId="173" fillId="0" borderId="120" xfId="11" applyNumberFormat="1" applyFont="1" applyFill="1" applyBorder="1" applyAlignment="1" applyProtection="1">
      <alignment horizontal="right" vertical="center" indent="1"/>
      <protection hidden="1"/>
    </xf>
    <xf numFmtId="4" fontId="173" fillId="0" borderId="129" xfId="11" applyNumberFormat="1" applyFont="1" applyFill="1" applyBorder="1" applyAlignment="1" applyProtection="1">
      <alignment horizontal="right" vertical="center" indent="1"/>
      <protection hidden="1"/>
    </xf>
    <xf numFmtId="4" fontId="173" fillId="0" borderId="128" xfId="11" applyNumberFormat="1" applyFont="1" applyFill="1" applyBorder="1" applyAlignment="1" applyProtection="1">
      <alignment horizontal="right" vertical="center" indent="1"/>
      <protection hidden="1"/>
    </xf>
    <xf numFmtId="1" fontId="173" fillId="0" borderId="127" xfId="11" applyNumberFormat="1" applyFont="1" applyBorder="1" applyAlignment="1" applyProtection="1">
      <alignment horizontal="center"/>
      <protection hidden="1"/>
    </xf>
    <xf numFmtId="14" fontId="173" fillId="0" borderId="130" xfId="11" applyNumberFormat="1" applyFont="1" applyBorder="1" applyAlignment="1" applyProtection="1">
      <alignment horizontal="center" vertical="center"/>
      <protection hidden="1"/>
    </xf>
    <xf numFmtId="4" fontId="173" fillId="0" borderId="114" xfId="11" applyNumberFormat="1" applyFont="1" applyFill="1" applyBorder="1" applyAlignment="1" applyProtection="1">
      <alignment horizontal="right" vertical="center" indent="1"/>
      <protection hidden="1"/>
    </xf>
    <xf numFmtId="4" fontId="173" fillId="0" borderId="130" xfId="11" applyNumberFormat="1" applyFont="1" applyFill="1" applyBorder="1" applyAlignment="1" applyProtection="1">
      <alignment horizontal="right" vertical="center" indent="1"/>
      <protection hidden="1"/>
    </xf>
    <xf numFmtId="4" fontId="173" fillId="13" borderId="113" xfId="11" applyNumberFormat="1" applyFont="1" applyFill="1" applyBorder="1" applyAlignment="1" applyProtection="1">
      <alignment horizontal="right" vertical="center" indent="1"/>
      <protection locked="0" hidden="1"/>
    </xf>
    <xf numFmtId="4" fontId="173"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8"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8"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3" fillId="20" borderId="0" xfId="0" applyFont="1" applyFill="1" applyAlignment="1" applyProtection="1">
      <alignment horizontal="center" vertical="center"/>
      <protection hidden="1"/>
    </xf>
    <xf numFmtId="0" fontId="183"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3" fillId="48" borderId="100" xfId="0" applyNumberFormat="1" applyFont="1" applyFill="1" applyBorder="1" applyAlignment="1" applyProtection="1">
      <alignment horizontal="right" vertical="center"/>
      <protection hidden="1"/>
    </xf>
    <xf numFmtId="2" fontId="193" fillId="21" borderId="100" xfId="0" applyNumberFormat="1" applyFont="1" applyFill="1" applyBorder="1" applyProtection="1">
      <protection hidden="1"/>
    </xf>
    <xf numFmtId="168" fontId="193" fillId="48" borderId="104" xfId="0" applyNumberFormat="1" applyFont="1" applyFill="1" applyBorder="1" applyAlignment="1" applyProtection="1">
      <alignment horizontal="right" vertical="center"/>
      <protection hidden="1"/>
    </xf>
    <xf numFmtId="2" fontId="193" fillId="21" borderId="104" xfId="0" applyNumberFormat="1" applyFont="1" applyFill="1" applyBorder="1" applyProtection="1">
      <protection hidden="1"/>
    </xf>
    <xf numFmtId="168" fontId="193" fillId="48" borderId="109" xfId="0" applyNumberFormat="1" applyFont="1" applyFill="1" applyBorder="1" applyAlignment="1" applyProtection="1">
      <alignment horizontal="right" vertical="center"/>
      <protection hidden="1"/>
    </xf>
    <xf numFmtId="2" fontId="193" fillId="21" borderId="109" xfId="0" applyNumberFormat="1" applyFont="1" applyFill="1" applyBorder="1" applyProtection="1">
      <protection hidden="1"/>
    </xf>
    <xf numFmtId="168" fontId="193" fillId="48" borderId="4" xfId="0" applyNumberFormat="1" applyFont="1" applyFill="1" applyBorder="1" applyAlignment="1" applyProtection="1">
      <alignment horizontal="right" vertical="center"/>
      <protection hidden="1"/>
    </xf>
    <xf numFmtId="2" fontId="194"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5" fillId="20" borderId="0" xfId="0" applyFont="1" applyFill="1" applyProtection="1">
      <protection hidden="1"/>
    </xf>
    <xf numFmtId="167" fontId="69" fillId="29" borderId="4" xfId="0" applyNumberFormat="1" applyFont="1" applyFill="1" applyBorder="1" applyProtection="1">
      <protection hidden="1"/>
    </xf>
    <xf numFmtId="4" fontId="134"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4" fontId="134" fillId="13" borderId="109" xfId="0" applyNumberFormat="1" applyFont="1" applyFill="1" applyBorder="1" applyAlignment="1" applyProtection="1">
      <alignment horizontal="right" vertical="center" wrapText="1" indent="1"/>
      <protection locked="0"/>
    </xf>
    <xf numFmtId="0" fontId="196" fillId="20" borderId="0" xfId="0" applyFont="1" applyFill="1" applyProtection="1">
      <protection hidden="1"/>
    </xf>
    <xf numFmtId="14" fontId="197"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3" fillId="20" borderId="0" xfId="0" applyNumberFormat="1" applyFont="1" applyFill="1"/>
    <xf numFmtId="0" fontId="193" fillId="20" borderId="0" xfId="0" applyFont="1" applyFill="1" applyProtection="1">
      <protection hidden="1"/>
    </xf>
    <xf numFmtId="0" fontId="193" fillId="20" borderId="0" xfId="0" applyFont="1" applyFill="1" applyAlignment="1" applyProtection="1">
      <alignment horizontal="center"/>
      <protection hidden="1"/>
    </xf>
    <xf numFmtId="14" fontId="0" fillId="20" borderId="0" xfId="0" applyNumberFormat="1" applyFill="1" applyProtection="1">
      <protection hidden="1"/>
    </xf>
    <xf numFmtId="0" fontId="199" fillId="36" borderId="4" xfId="0" applyFont="1" applyFill="1" applyBorder="1" applyAlignment="1" applyProtection="1">
      <alignment horizontal="center" vertical="center"/>
    </xf>
    <xf numFmtId="0" fontId="199" fillId="36" borderId="4" xfId="0" applyFont="1" applyFill="1" applyBorder="1" applyAlignment="1" applyProtection="1">
      <alignment horizontal="right" vertical="center"/>
      <protection hidden="1"/>
    </xf>
    <xf numFmtId="14" fontId="193" fillId="20" borderId="29" xfId="0" applyNumberFormat="1" applyFont="1" applyFill="1" applyBorder="1" applyAlignment="1" applyProtection="1">
      <alignment horizontal="left" vertical="center" wrapText="1"/>
      <protection hidden="1"/>
    </xf>
    <xf numFmtId="14" fontId="193" fillId="20" borderId="0" xfId="0" applyNumberFormat="1" applyFont="1" applyFill="1" applyBorder="1" applyAlignment="1" applyProtection="1">
      <alignment horizontal="left" vertical="center" wrapText="1"/>
      <protection hidden="1"/>
    </xf>
    <xf numFmtId="0" fontId="193"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3" fillId="20" borderId="29"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9" fillId="2" borderId="0" xfId="10" applyFont="1" applyFill="1" applyAlignment="1" applyProtection="1">
      <alignment horizontal="right" vertical="center"/>
      <protection locked="0" hidden="1"/>
    </xf>
    <xf numFmtId="0" fontId="183" fillId="20" borderId="0" xfId="0" applyFont="1" applyFill="1"/>
    <xf numFmtId="0" fontId="193" fillId="20" borderId="0" xfId="0" applyFont="1" applyFill="1" applyAlignment="1" applyProtection="1">
      <alignment horizontal="right"/>
      <protection hidden="1"/>
    </xf>
    <xf numFmtId="4" fontId="193" fillId="20" borderId="0" xfId="0" applyNumberFormat="1" applyFont="1" applyFill="1" applyAlignment="1">
      <alignment horizontal="center"/>
    </xf>
    <xf numFmtId="0" fontId="0" fillId="36" borderId="100" xfId="0" applyFill="1" applyBorder="1" applyAlignment="1" applyProtection="1">
      <alignment horizontal="right" vertical="center" wrapText="1"/>
    </xf>
    <xf numFmtId="0" fontId="0" fillId="36" borderId="104" xfId="0" applyFill="1" applyBorder="1" applyAlignment="1" applyProtection="1">
      <alignment horizontal="right" vertical="center" wrapText="1"/>
    </xf>
    <xf numFmtId="0" fontId="0" fillId="36" borderId="108" xfId="0" quotePrefix="1" applyFill="1" applyBorder="1" applyAlignment="1" applyProtection="1">
      <alignment horizontal="right" vertical="center" wrapText="1"/>
    </xf>
    <xf numFmtId="0" fontId="83" fillId="20" borderId="1" xfId="10" applyFill="1" applyBorder="1" applyAlignment="1">
      <alignment horizontal="left" vertical="center"/>
    </xf>
    <xf numFmtId="0" fontId="83" fillId="2" borderId="0" xfId="10" applyFill="1" applyBorder="1" applyAlignment="1" applyProtection="1">
      <alignment horizontal="right" vertical="top"/>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49" borderId="110" xfId="0" applyNumberFormat="1" applyFont="1" applyFill="1" applyBorder="1" applyAlignment="1" applyProtection="1">
      <alignment horizontal="right" vertical="center" wrapText="1"/>
      <protection locked="0"/>
    </xf>
    <xf numFmtId="2" fontId="134" fillId="49" borderId="104" xfId="0" applyNumberFormat="1" applyFont="1" applyFill="1" applyBorder="1" applyAlignment="1" applyProtection="1">
      <alignment horizontal="right" vertical="center" wrapText="1"/>
      <protection locked="0"/>
    </xf>
    <xf numFmtId="2" fontId="134" fillId="49" borderId="109" xfId="0" applyNumberFormat="1" applyFont="1" applyFill="1" applyBorder="1" applyAlignment="1" applyProtection="1">
      <alignment horizontal="right" vertical="center" wrapText="1"/>
      <protection locked="0"/>
    </xf>
    <xf numFmtId="0" fontId="138" fillId="0" borderId="0" xfId="0" applyFont="1" applyFill="1" applyBorder="1" applyAlignment="1">
      <alignment horizontal="left" vertical="center"/>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0" fillId="2" borderId="0" xfId="10" applyFont="1" applyFill="1" applyAlignment="1" applyProtection="1">
      <alignment horizontal="left" wrapText="1"/>
      <protection locked="0"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144" fillId="0" borderId="1" xfId="0" applyFont="1" applyBorder="1" applyAlignment="1" applyProtection="1">
      <alignment horizontal="center" vertical="center" wrapText="1"/>
      <protection hidden="1"/>
    </xf>
    <xf numFmtId="0" fontId="0" fillId="21" borderId="9" xfId="0" applyFill="1" applyBorder="1" applyAlignment="1" applyProtection="1">
      <alignment horizontal="left" vertical="center"/>
      <protection hidden="1"/>
    </xf>
    <xf numFmtId="0" fontId="0" fillId="21" borderId="10"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8"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4" xfId="0" applyFont="1" applyFill="1" applyBorder="1" applyAlignment="1" applyProtection="1">
      <alignment horizontal="left" vertical="center" wrapText="1"/>
      <protection hidden="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93" fillId="20" borderId="13" xfId="0" applyFont="1" applyFill="1" applyBorder="1" applyAlignment="1">
      <alignment horizontal="left" vertical="top" wrapText="1"/>
    </xf>
    <xf numFmtId="0" fontId="201" fillId="0" borderId="1" xfId="0" applyFont="1" applyBorder="1" applyAlignment="1">
      <alignment horizontal="left" vertical="center" wrapText="1" indent="2"/>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29" xfId="0" applyFont="1" applyFill="1" applyBorder="1" applyAlignment="1" applyProtection="1">
      <alignment horizontal="center" vertical="center" wrapText="1"/>
      <protection hidden="1"/>
    </xf>
    <xf numFmtId="0" fontId="12" fillId="20" borderId="13" xfId="0" applyFont="1" applyFill="1" applyBorder="1" applyAlignment="1">
      <alignment horizontal="center" wrapText="1"/>
    </xf>
    <xf numFmtId="0" fontId="201" fillId="0" borderId="2" xfId="0" applyFont="1" applyBorder="1" applyAlignment="1">
      <alignment horizontal="left" vertical="center" indent="2"/>
    </xf>
    <xf numFmtId="0" fontId="201" fillId="0" borderId="5" xfId="0" applyFont="1" applyBorder="1" applyAlignment="1">
      <alignment horizontal="left" vertical="center" indent="2"/>
    </xf>
    <xf numFmtId="0" fontId="201" fillId="0" borderId="3" xfId="0" applyFont="1" applyBorder="1" applyAlignment="1">
      <alignment horizontal="left" vertical="center" indent="2"/>
    </xf>
    <xf numFmtId="0" fontId="7" fillId="0" borderId="0" xfId="0" applyFont="1" applyBorder="1" applyAlignment="1">
      <alignment horizontal="left"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0" fillId="21" borderId="104" xfId="0"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4" fillId="21" borderId="11" xfId="0" applyFont="1" applyFill="1" applyBorder="1" applyAlignment="1">
      <alignment horizontal="center" vertical="center" wrapText="1"/>
    </xf>
    <xf numFmtId="0" fontId="201"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5" fillId="20" borderId="13" xfId="0" applyNumberFormat="1" applyFont="1" applyFill="1" applyBorder="1" applyAlignment="1">
      <alignment horizontal="center" vertical="top" wrapText="1"/>
    </xf>
    <xf numFmtId="0" fontId="165" fillId="20" borderId="0" xfId="0" applyNumberFormat="1" applyFont="1" applyFill="1" applyAlignment="1">
      <alignment horizontal="center" vertical="top" wrapText="1"/>
    </xf>
    <xf numFmtId="0" fontId="30" fillId="20" borderId="0" xfId="0" applyFont="1" applyFill="1" applyAlignment="1" applyProtection="1">
      <alignment horizontal="left" wrapText="1"/>
      <protection hidden="1"/>
    </xf>
    <xf numFmtId="0" fontId="12" fillId="20" borderId="0" xfId="0" applyFont="1" applyFill="1" applyAlignment="1" applyProtection="1">
      <alignment horizontal="center"/>
      <protection hidden="1"/>
    </xf>
    <xf numFmtId="0" fontId="201" fillId="2" borderId="1" xfId="0" applyFont="1" applyFill="1" applyBorder="1" applyAlignment="1">
      <alignment horizontal="left" vertical="center" wrapText="1" indent="2"/>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30" fillId="36" borderId="4" xfId="0" applyFont="1" applyFill="1" applyBorder="1" applyAlignment="1" applyProtection="1">
      <alignment horizontal="center" vertical="center"/>
    </xf>
    <xf numFmtId="0" fontId="112" fillId="21" borderId="4" xfId="0" applyFont="1" applyFill="1" applyBorder="1" applyAlignment="1">
      <alignment horizontal="center" vertical="center"/>
    </xf>
    <xf numFmtId="0" fontId="166"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201" fillId="0" borderId="1" xfId="0" applyFont="1" applyBorder="1" applyAlignment="1" applyProtection="1">
      <alignment horizontal="left" vertical="center" wrapText="1" indent="2"/>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7" fillId="20" borderId="29" xfId="0" applyFont="1" applyFill="1" applyBorder="1" applyAlignment="1">
      <alignment vertical="center" wrapText="1"/>
    </xf>
    <xf numFmtId="0" fontId="187" fillId="20" borderId="0" xfId="0" applyFont="1" applyFill="1" applyAlignment="1">
      <alignment vertical="center" wrapText="1"/>
    </xf>
    <xf numFmtId="0" fontId="0" fillId="20" borderId="1" xfId="0" applyFont="1" applyFill="1" applyBorder="1" applyAlignment="1" applyProtection="1">
      <alignment horizontal="center"/>
      <protection hidden="1"/>
    </xf>
    <xf numFmtId="0" fontId="7" fillId="0" borderId="1" xfId="0" applyFont="1" applyBorder="1" applyAlignment="1">
      <alignment horizontal="left"/>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200" fillId="20" borderId="0" xfId="0" applyFont="1" applyFill="1" applyAlignment="1" applyProtection="1">
      <alignment horizontal="center" vertical="center" wrapText="1"/>
      <protection hidden="1"/>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201" fillId="0" borderId="1" xfId="0" applyFont="1" applyBorder="1" applyAlignment="1">
      <alignment horizontal="left" vertical="center" indent="2"/>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0" fontId="52" fillId="20" borderId="0" xfId="0" applyFont="1" applyFill="1" applyAlignment="1" applyProtection="1">
      <alignment horizontal="center" vertical="center" wrapText="1"/>
      <protection hidden="1"/>
    </xf>
    <xf numFmtId="0" fontId="31" fillId="36" borderId="11"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29" fillId="36" borderId="11"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7" fillId="0" borderId="0" xfId="0" applyFont="1" applyAlignment="1" applyProtection="1">
      <alignment horizontal="center" wrapText="1"/>
      <protection locked="0" hidden="1"/>
    </xf>
    <xf numFmtId="1" fontId="29" fillId="36" borderId="4" xfId="0" applyNumberFormat="1" applyFont="1" applyFill="1" applyBorder="1" applyAlignment="1" applyProtection="1">
      <alignment horizontal="center" vertical="center"/>
      <protection locked="0"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0" fontId="52" fillId="36" borderId="0" xfId="0" applyFont="1" applyFill="1" applyAlignment="1" applyProtection="1">
      <alignment horizontal="center"/>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109" fillId="2" borderId="0" xfId="10" applyFont="1" applyFill="1" applyBorder="1" applyAlignment="1" applyProtection="1">
      <alignment horizontal="center" vertical="center"/>
      <protection hidden="1"/>
    </xf>
    <xf numFmtId="0" fontId="182" fillId="13" borderId="8" xfId="0" applyFont="1" applyFill="1" applyBorder="1" applyAlignment="1" applyProtection="1">
      <alignment horizontal="center" vertical="center"/>
      <protection hidden="1"/>
    </xf>
    <xf numFmtId="0" fontId="182" fillId="13" borderId="7" xfId="0" applyFont="1" applyFill="1" applyBorder="1" applyAlignment="1" applyProtection="1">
      <alignment horizontal="center" vertical="center"/>
      <protection hidden="1"/>
    </xf>
    <xf numFmtId="2" fontId="185" fillId="20" borderId="9" xfId="0" applyNumberFormat="1" applyFont="1" applyFill="1" applyBorder="1" applyAlignment="1" applyProtection="1">
      <alignment horizontal="center" vertical="center"/>
      <protection hidden="1"/>
    </xf>
    <xf numFmtId="2" fontId="185" fillId="20" borderId="10" xfId="0" applyNumberFormat="1" applyFont="1" applyFill="1" applyBorder="1" applyAlignment="1" applyProtection="1">
      <alignment horizontal="center" vertical="center"/>
      <protection hidden="1"/>
    </xf>
    <xf numFmtId="0" fontId="30" fillId="20" borderId="0" xfId="0" applyFont="1" applyFill="1" applyAlignment="1" applyProtection="1">
      <alignment horizont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0" fontId="177" fillId="5" borderId="8" xfId="11" applyFont="1" applyFill="1" applyBorder="1" applyAlignment="1" applyProtection="1">
      <alignment horizontal="center" vertical="center" wrapText="1"/>
      <protection hidden="1"/>
    </xf>
    <xf numFmtId="0" fontId="177" fillId="5" borderId="12" xfId="11" applyFont="1" applyFill="1" applyBorder="1" applyAlignment="1" applyProtection="1">
      <alignment horizontal="center" vertical="center" wrapText="1"/>
      <protection hidden="1"/>
    </xf>
    <xf numFmtId="4" fontId="35" fillId="21" borderId="97" xfId="11" applyNumberFormat="1" applyFont="1" applyFill="1" applyBorder="1" applyAlignment="1" applyProtection="1">
      <alignment horizontal="right"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5" xfId="11" applyNumberFormat="1" applyFont="1" applyFill="1" applyBorder="1" applyAlignment="1" applyProtection="1">
      <alignment horizontal="right" vertical="center"/>
      <protection hidden="1"/>
    </xf>
    <xf numFmtId="4" fontId="35" fillId="21" borderId="106" xfId="11" applyNumberFormat="1" applyFont="1" applyFill="1" applyBorder="1" applyAlignment="1" applyProtection="1">
      <alignment horizontal="right" vertical="center"/>
      <protection hidden="1"/>
    </xf>
    <xf numFmtId="4" fontId="185" fillId="20" borderId="13" xfId="0" applyNumberFormat="1" applyFont="1" applyFill="1" applyBorder="1" applyAlignment="1" applyProtection="1">
      <alignment horizontal="right" vertical="center"/>
      <protection hidden="1"/>
    </xf>
    <xf numFmtId="0" fontId="185"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4" fontId="35" fillId="21" borderId="99"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177" fillId="5" borderId="7" xfId="11" applyFont="1" applyFill="1" applyBorder="1" applyAlignment="1" applyProtection="1">
      <alignment horizontal="center" vertical="center" wrapText="1"/>
      <protection hidden="1"/>
    </xf>
    <xf numFmtId="0" fontId="30" fillId="20" borderId="0" xfId="0" applyFont="1" applyFill="1" applyBorder="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2" fontId="185"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173" fillId="5" borderId="10" xfId="11" applyNumberFormat="1" applyFont="1" applyFill="1" applyBorder="1" applyAlignment="1" applyProtection="1">
      <alignment horizontal="center" vertical="center" wrapText="1"/>
      <protection hidden="1"/>
    </xf>
    <xf numFmtId="4" fontId="173" fillId="5" borderId="2" xfId="11" applyNumberFormat="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protection hidden="1"/>
    </xf>
    <xf numFmtId="0" fontId="173" fillId="5" borderId="8" xfId="11" applyFont="1" applyFill="1" applyBorder="1" applyAlignment="1" applyProtection="1">
      <alignment horizontal="center" vertical="center"/>
      <protection hidden="1"/>
    </xf>
    <xf numFmtId="0" fontId="173" fillId="5" borderId="12" xfId="11" applyFont="1" applyFill="1" applyBorder="1" applyAlignment="1" applyProtection="1">
      <alignment horizontal="center" vertical="center"/>
      <protection hidden="1"/>
    </xf>
    <xf numFmtId="0" fontId="173" fillId="5" borderId="7" xfId="11" applyFont="1" applyFill="1" applyBorder="1" applyAlignment="1" applyProtection="1">
      <alignment horizontal="center" vertical="center"/>
      <protection hidden="1"/>
    </xf>
    <xf numFmtId="0" fontId="173" fillId="5" borderId="11" xfId="11" applyFont="1" applyFill="1" applyBorder="1" applyAlignment="1" applyProtection="1">
      <alignment horizontal="center" vertical="center" wrapText="1"/>
      <protection hidden="1"/>
    </xf>
    <xf numFmtId="0" fontId="173" fillId="5" borderId="5" xfId="1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wrapText="1"/>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82" fillId="21" borderId="9" xfId="0" applyFont="1" applyFill="1" applyBorder="1" applyAlignment="1" applyProtection="1">
      <alignment horizontal="center" vertical="center"/>
      <protection hidden="1"/>
    </xf>
    <xf numFmtId="0" fontId="182"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181" fillId="20" borderId="29" xfId="0" applyFont="1" applyFill="1" applyBorder="1" applyAlignment="1" applyProtection="1">
      <alignment horizontal="left" wrapText="1" indent="1"/>
      <protection hidden="1"/>
    </xf>
    <xf numFmtId="0" fontId="181" fillId="20" borderId="0" xfId="0" applyFont="1" applyFill="1" applyAlignment="1" applyProtection="1">
      <alignment horizontal="left" wrapText="1" indent="1"/>
      <protection hidden="1"/>
    </xf>
    <xf numFmtId="0" fontId="159" fillId="20" borderId="0" xfId="0" applyFont="1" applyFill="1" applyBorder="1" applyAlignment="1" applyProtection="1">
      <alignment horizontal="left" vertical="center" wrapText="1" indent="1"/>
      <protection hidden="1"/>
    </xf>
    <xf numFmtId="0" fontId="175"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5"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0"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69" fillId="44" borderId="4" xfId="0" applyFont="1" applyFill="1" applyBorder="1" applyAlignment="1" applyProtection="1">
      <alignment horizontal="center" vertical="center" wrapText="1"/>
      <protection hidden="1"/>
    </xf>
    <xf numFmtId="0" fontId="169" fillId="44" borderId="8" xfId="0" applyFont="1" applyFill="1" applyBorder="1" applyAlignment="1" applyProtection="1">
      <alignment horizontal="center" vertical="center" wrapText="1"/>
      <protection hidden="1"/>
    </xf>
    <xf numFmtId="0" fontId="169" fillId="44" borderId="12" xfId="0" applyFont="1" applyFill="1" applyBorder="1" applyAlignment="1" applyProtection="1">
      <alignment horizontal="center" vertical="center" wrapText="1"/>
      <protection hidden="1"/>
    </xf>
    <xf numFmtId="0" fontId="169" fillId="44" borderId="7" xfId="0" applyFont="1" applyFill="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horizontal="left" vertical="center" wrapText="1"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71" fillId="0" borderId="8" xfId="0" applyNumberFormat="1" applyFont="1" applyFill="1" applyBorder="1" applyAlignment="1" applyProtection="1">
      <alignment horizontal="center" vertical="center" wrapText="1"/>
      <protection hidden="1"/>
    </xf>
    <xf numFmtId="0" fontId="171" fillId="0" borderId="12" xfId="0" applyNumberFormat="1" applyFont="1" applyFill="1" applyBorder="1" applyAlignment="1" applyProtection="1">
      <alignment horizontal="center" vertical="center" wrapText="1"/>
      <protection hidden="1"/>
    </xf>
    <xf numFmtId="0" fontId="171" fillId="0" borderId="7" xfId="0" applyNumberFormat="1"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protection hidden="1"/>
    </xf>
    <xf numFmtId="0" fontId="171" fillId="0" borderId="8" xfId="0" applyNumberFormat="1" applyFont="1" applyFill="1" applyBorder="1" applyAlignment="1" applyProtection="1">
      <alignment horizontal="center" vertical="center"/>
      <protection hidden="1"/>
    </xf>
    <xf numFmtId="0" fontId="171" fillId="0" borderId="12" xfId="0" applyNumberFormat="1" applyFont="1" applyFill="1" applyBorder="1" applyAlignment="1" applyProtection="1">
      <alignment horizontal="center" vertical="center"/>
      <protection hidden="1"/>
    </xf>
    <xf numFmtId="0" fontId="171" fillId="0" borderId="7" xfId="0" applyNumberFormat="1" applyFont="1" applyFill="1" applyBorder="1" applyAlignment="1" applyProtection="1">
      <alignment horizontal="center" vertical="center"/>
      <protection hidden="1"/>
    </xf>
    <xf numFmtId="0" fontId="171" fillId="0" borderId="4" xfId="0" applyFont="1" applyFill="1" applyBorder="1" applyAlignment="1" applyProtection="1">
      <alignment horizontal="left" vertical="center" indent="1"/>
      <protection hidden="1"/>
    </xf>
    <xf numFmtId="0" fontId="171" fillId="0" borderId="4" xfId="0" applyNumberFormat="1" applyFont="1" applyFill="1" applyBorder="1" applyAlignment="1" applyProtection="1">
      <alignment horizontal="center" vertical="center"/>
      <protection hidden="1"/>
    </xf>
    <xf numFmtId="0" fontId="10" fillId="0" borderId="4" xfId="0" applyFont="1" applyFill="1" applyBorder="1" applyAlignment="1" applyProtection="1">
      <alignment horizontal="center" vertical="center" wrapText="1"/>
      <protection hidden="1"/>
    </xf>
    <xf numFmtId="0" fontId="171" fillId="0" borderId="9" xfId="0" applyFont="1" applyFill="1" applyBorder="1" applyAlignment="1" applyProtection="1">
      <alignment horizontal="left" vertical="center" wrapText="1"/>
      <protection hidden="1"/>
    </xf>
    <xf numFmtId="0" fontId="171" fillId="0" borderId="10" xfId="0" applyFont="1" applyFill="1" applyBorder="1" applyAlignment="1" applyProtection="1">
      <alignment horizontal="left" vertical="center" wrapText="1"/>
      <protection hidden="1"/>
    </xf>
    <xf numFmtId="0" fontId="171" fillId="0" borderId="29" xfId="0" applyFont="1" applyFill="1" applyBorder="1" applyAlignment="1" applyProtection="1">
      <alignment horizontal="left" vertical="center" wrapText="1"/>
      <protection hidden="1"/>
    </xf>
    <xf numFmtId="0" fontId="171" fillId="0" borderId="6" xfId="0" applyFont="1" applyFill="1" applyBorder="1" applyAlignment="1" applyProtection="1">
      <alignment horizontal="left" vertical="center" wrapText="1"/>
      <protection hidden="1"/>
    </xf>
    <xf numFmtId="0" fontId="171" fillId="0" borderId="3" xfId="0" applyFont="1" applyFill="1" applyBorder="1" applyAlignment="1" applyProtection="1">
      <alignment horizontal="left" vertical="center" wrapText="1"/>
      <protection hidden="1"/>
    </xf>
    <xf numFmtId="0" fontId="171" fillId="0" borderId="2" xfId="0" applyFont="1" applyFill="1" applyBorder="1" applyAlignment="1" applyProtection="1">
      <alignment horizontal="left" vertical="center" wrapText="1"/>
      <protection hidden="1"/>
    </xf>
    <xf numFmtId="0" fontId="171" fillId="0" borderId="8" xfId="0" applyFont="1" applyFill="1" applyBorder="1" applyAlignment="1" applyProtection="1">
      <alignment horizontal="left" vertical="center" wrapText="1"/>
      <protection hidden="1"/>
    </xf>
    <xf numFmtId="0" fontId="171" fillId="0" borderId="12" xfId="0" applyFont="1" applyFill="1" applyBorder="1" applyAlignment="1" applyProtection="1">
      <alignment horizontal="left" vertical="center" wrapText="1"/>
      <protection hidden="1"/>
    </xf>
    <xf numFmtId="0" fontId="171" fillId="0" borderId="7" xfId="0" applyFont="1" applyFill="1" applyBorder="1" applyAlignment="1" applyProtection="1">
      <alignment horizontal="left" vertical="center" wrapText="1"/>
      <protection hidden="1"/>
    </xf>
    <xf numFmtId="0" fontId="171" fillId="0" borderId="4" xfId="0" applyFont="1" applyFill="1" applyBorder="1" applyAlignment="1" applyProtection="1">
      <alignment horizontal="center" vertical="center"/>
      <protection hidden="1"/>
    </xf>
    <xf numFmtId="0" fontId="171" fillId="0" borderId="4" xfId="0" applyFont="1" applyFill="1" applyBorder="1" applyAlignment="1" applyProtection="1">
      <alignment horizontal="center" vertical="center" wrapText="1"/>
      <protection hidden="1"/>
    </xf>
    <xf numFmtId="0" fontId="10" fillId="0" borderId="11" xfId="0" applyFont="1" applyFill="1" applyBorder="1" applyAlignment="1" applyProtection="1">
      <alignment horizontal="center" vertical="center" wrapText="1"/>
      <protection hidden="1"/>
    </xf>
    <xf numFmtId="0" fontId="171" fillId="0" borderId="8" xfId="0" applyFont="1" applyFill="1" applyBorder="1" applyAlignment="1" applyProtection="1">
      <alignment horizontal="left" vertical="center"/>
      <protection hidden="1"/>
    </xf>
    <xf numFmtId="0" fontId="171" fillId="0" borderId="12" xfId="0" applyFont="1" applyFill="1" applyBorder="1" applyAlignment="1" applyProtection="1">
      <alignment horizontal="left" vertical="center"/>
      <protection hidden="1"/>
    </xf>
    <xf numFmtId="0" fontId="171" fillId="0" borderId="7" xfId="0" applyFont="1" applyFill="1" applyBorder="1" applyAlignment="1" applyProtection="1">
      <alignment horizontal="left" vertical="center"/>
      <protection hidden="1"/>
    </xf>
    <xf numFmtId="0" fontId="66" fillId="0" borderId="4"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protection hidden="1"/>
    </xf>
    <xf numFmtId="0" fontId="66" fillId="0" borderId="4" xfId="0" applyNumberFormat="1"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71" fillId="0" borderId="29" xfId="0" applyFont="1" applyFill="1" applyBorder="1" applyAlignment="1" applyProtection="1">
      <alignment vertical="center" wrapText="1"/>
      <protection hidden="1"/>
    </xf>
    <xf numFmtId="0" fontId="171" fillId="0" borderId="0" xfId="0" applyFont="1" applyFill="1" applyBorder="1" applyAlignment="1" applyProtection="1">
      <alignment vertical="center" wrapText="1"/>
      <protection hidden="1"/>
    </xf>
    <xf numFmtId="0" fontId="171" fillId="0" borderId="6" xfId="0" applyFont="1" applyFill="1" applyBorder="1" applyAlignment="1" applyProtection="1">
      <alignment vertical="center" wrapText="1"/>
      <protection hidden="1"/>
    </xf>
    <xf numFmtId="0" fontId="66" fillId="0" borderId="4" xfId="0" applyFont="1" applyFill="1" applyBorder="1" applyAlignment="1" applyProtection="1">
      <alignment vertical="center" wrapText="1"/>
      <protection hidden="1"/>
    </xf>
    <xf numFmtId="176" fontId="171" fillId="0" borderId="4" xfId="0" applyNumberFormat="1" applyFont="1" applyFill="1" applyBorder="1" applyAlignment="1" applyProtection="1">
      <alignment horizontal="center" vertical="center"/>
      <protection hidden="1"/>
    </xf>
    <xf numFmtId="177" fontId="171" fillId="0" borderId="4" xfId="0" applyNumberFormat="1" applyFont="1" applyFill="1" applyBorder="1" applyAlignment="1" applyProtection="1">
      <alignment horizontal="center" vertical="center"/>
      <protection hidden="1"/>
    </xf>
    <xf numFmtId="4" fontId="171" fillId="0" borderId="4" xfId="0" applyNumberFormat="1" applyFont="1" applyFill="1" applyBorder="1" applyAlignment="1" applyProtection="1">
      <alignment horizontal="center" vertical="center"/>
      <protection hidden="1"/>
    </xf>
    <xf numFmtId="0" fontId="169" fillId="0" borderId="4" xfId="0" applyFont="1" applyFill="1" applyBorder="1" applyAlignment="1" applyProtection="1">
      <alignment horizontal="center" vertical="center"/>
      <protection hidden="1"/>
    </xf>
    <xf numFmtId="0" fontId="169" fillId="0" borderId="8" xfId="0" applyFont="1" applyFill="1" applyBorder="1" applyAlignment="1" applyProtection="1">
      <alignment horizontal="center"/>
      <protection hidden="1"/>
    </xf>
    <xf numFmtId="0" fontId="169" fillId="0" borderId="7" xfId="0" applyFont="1" applyFill="1" applyBorder="1" applyAlignment="1" applyProtection="1">
      <alignment horizontal="center"/>
      <protection hidden="1"/>
    </xf>
    <xf numFmtId="0" fontId="169" fillId="0" borderId="9" xfId="0" applyFont="1" applyFill="1" applyBorder="1" applyAlignment="1" applyProtection="1">
      <alignment horizontal="center" vertical="center" wrapText="1"/>
      <protection hidden="1"/>
    </xf>
    <xf numFmtId="0" fontId="169" fillId="0" borderId="13" xfId="0" applyFont="1" applyFill="1" applyBorder="1" applyAlignment="1" applyProtection="1">
      <alignment horizontal="center" vertical="center" wrapText="1"/>
      <protection hidden="1"/>
    </xf>
    <xf numFmtId="0" fontId="169" fillId="0" borderId="10" xfId="0" applyFont="1" applyFill="1" applyBorder="1" applyAlignment="1" applyProtection="1">
      <alignment horizontal="center" vertical="center" wrapText="1"/>
      <protection hidden="1"/>
    </xf>
    <xf numFmtId="0" fontId="169" fillId="0" borderId="3" xfId="0" applyFont="1" applyFill="1" applyBorder="1" applyAlignment="1" applyProtection="1">
      <alignment horizontal="center" vertical="center" wrapText="1"/>
      <protection hidden="1"/>
    </xf>
    <xf numFmtId="0" fontId="169" fillId="0" borderId="1" xfId="0" applyFont="1" applyFill="1" applyBorder="1" applyAlignment="1" applyProtection="1">
      <alignment horizontal="center" vertical="center" wrapText="1"/>
      <protection hidden="1"/>
    </xf>
    <xf numFmtId="0" fontId="169" fillId="0" borderId="2" xfId="0" applyFont="1" applyFill="1" applyBorder="1" applyAlignment="1" applyProtection="1">
      <alignment horizontal="center" vertical="center" wrapText="1"/>
      <protection hidden="1"/>
    </xf>
    <xf numFmtId="0" fontId="169" fillId="0" borderId="9" xfId="0" applyFont="1" applyFill="1" applyBorder="1" applyAlignment="1" applyProtection="1">
      <alignment horizontal="center" vertical="center"/>
      <protection hidden="1"/>
    </xf>
    <xf numFmtId="0" fontId="169" fillId="0" borderId="13" xfId="0" applyFont="1" applyFill="1" applyBorder="1" applyAlignment="1" applyProtection="1">
      <alignment horizontal="center" vertical="center"/>
      <protection hidden="1"/>
    </xf>
    <xf numFmtId="0" fontId="169" fillId="0" borderId="10" xfId="0" applyFont="1" applyFill="1" applyBorder="1" applyAlignment="1" applyProtection="1">
      <alignment horizontal="center" vertical="center"/>
      <protection hidden="1"/>
    </xf>
    <xf numFmtId="0" fontId="169" fillId="0" borderId="3" xfId="0" applyFont="1" applyFill="1" applyBorder="1" applyAlignment="1" applyProtection="1">
      <alignment horizontal="center" vertical="center"/>
      <protection hidden="1"/>
    </xf>
    <xf numFmtId="0" fontId="169" fillId="0" borderId="1" xfId="0" applyFont="1" applyFill="1" applyBorder="1" applyAlignment="1" applyProtection="1">
      <alignment horizontal="center" vertical="center"/>
      <protection hidden="1"/>
    </xf>
    <xf numFmtId="0" fontId="169"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protection hidden="1"/>
    </xf>
    <xf numFmtId="0" fontId="30" fillId="2" borderId="0" xfId="0" applyFont="1" applyFill="1" applyBorder="1" applyAlignment="1" applyProtection="1">
      <alignment horizontal="center"/>
      <protection hidden="1"/>
    </xf>
    <xf numFmtId="3" fontId="179"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0" borderId="104" xfId="0" applyFont="1" applyBorder="1" applyAlignment="1" applyProtection="1">
      <alignment horizontal="center" vertical="center"/>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5" fillId="21" borderId="5" xfId="0" applyFont="1" applyFill="1" applyBorder="1" applyAlignment="1" applyProtection="1">
      <alignment horizontal="center" vertical="center"/>
      <protection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33" fillId="26" borderId="0" xfId="0" applyFont="1" applyFill="1" applyBorder="1" applyAlignment="1" applyProtection="1">
      <alignment horizontal="left" vertical="top"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48" fillId="0" borderId="65" xfId="0" applyFont="1" applyBorder="1" applyAlignment="1" applyProtection="1">
      <alignment horizontal="center" vertical="center"/>
      <protection hidden="1"/>
    </xf>
    <xf numFmtId="0" fontId="48" fillId="0" borderId="66"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0" borderId="4" xfId="0" applyNumberFormat="1" applyFont="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2" fontId="26" fillId="0" borderId="4" xfId="0" applyNumberFormat="1" applyFont="1" applyBorder="1" applyAlignment="1" applyProtection="1">
      <alignment horizontal="right" vertical="center" wrapText="1" indent="7"/>
      <protection hidden="1"/>
    </xf>
    <xf numFmtId="2" fontId="26" fillId="0" borderId="4" xfId="0" applyNumberFormat="1" applyFont="1" applyBorder="1" applyAlignment="1" applyProtection="1">
      <alignment horizontal="right" vertical="center" wrapText="1"/>
      <protection hidden="1"/>
    </xf>
    <xf numFmtId="2" fontId="43" fillId="0" borderId="4" xfId="0" applyNumberFormat="1" applyFont="1" applyBorder="1" applyAlignment="1" applyProtection="1">
      <alignment horizontal="right" vertical="center" wrapText="1" indent="15"/>
      <protection hidden="1"/>
    </xf>
    <xf numFmtId="2" fontId="48" fillId="0" borderId="4" xfId="0" applyNumberFormat="1" applyFont="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43" fillId="6" borderId="4" xfId="0" applyNumberFormat="1" applyFont="1" applyFill="1" applyBorder="1" applyAlignment="1" applyProtection="1">
      <alignment horizontal="right" vertical="center" wrapText="1" indent="15"/>
      <protection hidden="1"/>
    </xf>
    <xf numFmtId="2" fontId="43" fillId="0" borderId="4" xfId="0" applyNumberFormat="1" applyFont="1" applyBorder="1" applyAlignment="1" applyProtection="1">
      <alignment horizontal="right" vertical="center" wrapText="1" indent="11"/>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3" fillId="28" borderId="4" xfId="0" applyNumberFormat="1" applyFont="1" applyFill="1" applyBorder="1" applyAlignment="1" applyProtection="1">
      <alignment horizontal="right" vertical="center" wrapText="1" indent="15"/>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0" fontId="14" fillId="0" borderId="1" xfId="0" applyFont="1" applyBorder="1" applyAlignment="1">
      <alignment horizontal="left"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46">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ont>
        <color auto="1"/>
      </font>
      <fill>
        <patternFill>
          <bgColor rgb="FFCCFF9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dxf>
    <dxf>
      <font>
        <color theme="0" tint="-0.24994659260841701"/>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2E6F0"/>
      <color rgb="FFCCFF99"/>
      <color rgb="FF5F5F5F"/>
      <color rgb="FFD0EBB3"/>
      <color rgb="FFD9D9D9"/>
      <color rgb="FF006400"/>
      <color rgb="FFEAEAEA"/>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739-4E1D-A031-844D4EF16905}"/>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A739-4E1D-A031-844D4EF16905}"/>
            </c:ext>
          </c:extLst>
        </c:ser>
        <c:dLbls>
          <c:showLegendKey val="0"/>
          <c:showVal val="0"/>
          <c:showCatName val="0"/>
          <c:showSerName val="0"/>
          <c:showPercent val="0"/>
          <c:showBubbleSize val="0"/>
        </c:dLbls>
        <c:gapWidth val="0"/>
        <c:overlap val="100"/>
        <c:axId val="474960848"/>
        <c:axId val="47496028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2-A739-4E1D-A031-844D4EF16905}"/>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3-A739-4E1D-A031-844D4EF16905}"/>
            </c:ext>
          </c:extLst>
        </c:ser>
        <c:dLbls>
          <c:showLegendKey val="0"/>
          <c:showVal val="0"/>
          <c:showCatName val="0"/>
          <c:showSerName val="0"/>
          <c:showPercent val="0"/>
          <c:showBubbleSize val="0"/>
        </c:dLbls>
        <c:marker val="1"/>
        <c:smooth val="0"/>
        <c:axId val="474960848"/>
        <c:axId val="474960288"/>
      </c:lineChart>
      <c:catAx>
        <c:axId val="474960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74960288"/>
        <c:crosses val="autoZero"/>
        <c:auto val="1"/>
        <c:lblAlgn val="ctr"/>
        <c:lblOffset val="500"/>
        <c:tickLblSkip val="5"/>
        <c:noMultiLvlLbl val="0"/>
      </c:catAx>
      <c:valAx>
        <c:axId val="47496028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7496084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40D-400C-961B-4D1AB6919C00}"/>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340D-400C-961B-4D1AB6919C00}"/>
            </c:ext>
          </c:extLst>
        </c:ser>
        <c:dLbls>
          <c:showLegendKey val="0"/>
          <c:showVal val="0"/>
          <c:showCatName val="0"/>
          <c:showSerName val="0"/>
          <c:showPercent val="0"/>
          <c:showBubbleSize val="0"/>
        </c:dLbls>
        <c:gapWidth val="0"/>
        <c:overlap val="100"/>
        <c:axId val="392980144"/>
        <c:axId val="39298070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2-340D-400C-961B-4D1AB6919C00}"/>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3-340D-400C-961B-4D1AB6919C00}"/>
            </c:ext>
          </c:extLst>
        </c:ser>
        <c:dLbls>
          <c:showLegendKey val="0"/>
          <c:showVal val="0"/>
          <c:showCatName val="0"/>
          <c:showSerName val="0"/>
          <c:showPercent val="0"/>
          <c:showBubbleSize val="0"/>
        </c:dLbls>
        <c:marker val="1"/>
        <c:smooth val="0"/>
        <c:axId val="392980144"/>
        <c:axId val="392980704"/>
      </c:lineChart>
      <c:catAx>
        <c:axId val="392980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2980704"/>
        <c:crosses val="autoZero"/>
        <c:auto val="1"/>
        <c:lblAlgn val="ctr"/>
        <c:lblOffset val="500"/>
        <c:tickLblSkip val="5"/>
        <c:noMultiLvlLbl val="0"/>
      </c:catAx>
      <c:valAx>
        <c:axId val="3929807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980144"/>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AAA-4470-8551-3EF2DB849C2B}"/>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3AAA-4470-8551-3EF2DB849C2B}"/>
            </c:ext>
          </c:extLst>
        </c:ser>
        <c:dLbls>
          <c:showLegendKey val="0"/>
          <c:showVal val="0"/>
          <c:showCatName val="0"/>
          <c:showSerName val="0"/>
          <c:showPercent val="0"/>
          <c:showBubbleSize val="0"/>
        </c:dLbls>
        <c:gapWidth val="0"/>
        <c:overlap val="100"/>
        <c:axId val="394014080"/>
        <c:axId val="39401464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2-3AAA-4470-8551-3EF2DB849C2B}"/>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3-3AAA-4470-8551-3EF2DB849C2B}"/>
            </c:ext>
          </c:extLst>
        </c:ser>
        <c:dLbls>
          <c:showLegendKey val="0"/>
          <c:showVal val="0"/>
          <c:showCatName val="0"/>
          <c:showSerName val="0"/>
          <c:showPercent val="0"/>
          <c:showBubbleSize val="0"/>
        </c:dLbls>
        <c:marker val="1"/>
        <c:smooth val="0"/>
        <c:axId val="394014080"/>
        <c:axId val="394014640"/>
      </c:lineChart>
      <c:catAx>
        <c:axId val="394014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4014640"/>
        <c:crosses val="autoZero"/>
        <c:auto val="1"/>
        <c:lblAlgn val="ctr"/>
        <c:lblOffset val="500"/>
        <c:tickLblSkip val="5"/>
        <c:noMultiLvlLbl val="0"/>
      </c:catAx>
      <c:valAx>
        <c:axId val="39401464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4014080"/>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4DE-43F0-804E-725FE22D3D13}"/>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C4DE-43F0-804E-725FE22D3D13}"/>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C4DE-43F0-804E-725FE22D3D13}"/>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C4DE-43F0-804E-725FE22D3D13}"/>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C4DE-43F0-804E-725FE22D3D13}"/>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C4DE-43F0-804E-725FE22D3D13}"/>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C4DE-43F0-804E-725FE22D3D13}"/>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C4DE-43F0-804E-725FE22D3D13}"/>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8-C4DE-43F0-804E-725FE22D3D13}"/>
            </c:ext>
          </c:extLst>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C4DE-43F0-804E-725FE22D3D13}"/>
            </c:ext>
          </c:extLst>
        </c:ser>
        <c:dLbls>
          <c:showLegendKey val="0"/>
          <c:showVal val="0"/>
          <c:showCatName val="0"/>
          <c:showSerName val="0"/>
          <c:showPercent val="0"/>
          <c:showBubbleSize val="0"/>
        </c:dLbls>
        <c:gapWidth val="0"/>
        <c:overlap val="100"/>
        <c:axId val="194793168"/>
        <c:axId val="19479372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A-C4DE-43F0-804E-725FE22D3D13}"/>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extLst xmlns:c16r2="http://schemas.microsoft.com/office/drawing/2015/06/chart">
            <c:ext xmlns:c16="http://schemas.microsoft.com/office/drawing/2014/chart" uri="{C3380CC4-5D6E-409C-BE32-E72D297353CC}">
              <c16:uniqueId val="{0000000B-C4DE-43F0-804E-725FE22D3D13}"/>
            </c:ext>
          </c:extLst>
        </c:ser>
        <c:dLbls>
          <c:showLegendKey val="0"/>
          <c:showVal val="0"/>
          <c:showCatName val="0"/>
          <c:showSerName val="0"/>
          <c:showPercent val="0"/>
          <c:showBubbleSize val="0"/>
        </c:dLbls>
        <c:marker val="1"/>
        <c:smooth val="0"/>
        <c:axId val="194793168"/>
        <c:axId val="194793728"/>
      </c:lineChart>
      <c:catAx>
        <c:axId val="194793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94793728"/>
        <c:crosses val="autoZero"/>
        <c:auto val="1"/>
        <c:lblAlgn val="ctr"/>
        <c:lblOffset val="500"/>
        <c:tickLblSkip val="5"/>
        <c:tickMarkSkip val="10"/>
        <c:noMultiLvlLbl val="0"/>
      </c:catAx>
      <c:valAx>
        <c:axId val="19479372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94793168"/>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1.12E-2</c:v>
                </c:pt>
                <c:pt idx="1">
                  <c:v>1.4500000000000001E-2</c:v>
                </c:pt>
                <c:pt idx="2">
                  <c:v>1.7000000000000001E-2</c:v>
                </c:pt>
                <c:pt idx="3">
                  <c:v>1.8499999999999999E-2</c:v>
                </c:pt>
                <c:pt idx="4">
                  <c:v>2.0199999999999999E-2</c:v>
                </c:pt>
                <c:pt idx="5">
                  <c:v>2.18E-2</c:v>
                </c:pt>
                <c:pt idx="6">
                  <c:v>2.3300000000000001E-2</c:v>
                </c:pt>
                <c:pt idx="7">
                  <c:v>2.46E-2</c:v>
                </c:pt>
                <c:pt idx="8">
                  <c:v>2.5600000000000001E-2</c:v>
                </c:pt>
                <c:pt idx="9">
                  <c:v>2.64E-2</c:v>
                </c:pt>
                <c:pt idx="10">
                  <c:v>2.7199999999999998E-2</c:v>
                </c:pt>
                <c:pt idx="11">
                  <c:v>2.8000000000000001E-2</c:v>
                </c:pt>
                <c:pt idx="12">
                  <c:v>2.87E-2</c:v>
                </c:pt>
                <c:pt idx="13">
                  <c:v>2.92E-2</c:v>
                </c:pt>
                <c:pt idx="14">
                  <c:v>2.9700000000000001E-2</c:v>
                </c:pt>
                <c:pt idx="15">
                  <c:v>3.0099999999999998E-2</c:v>
                </c:pt>
                <c:pt idx="16">
                  <c:v>3.0599999999999999E-2</c:v>
                </c:pt>
                <c:pt idx="17">
                  <c:v>3.1E-2</c:v>
                </c:pt>
                <c:pt idx="18">
                  <c:v>3.15E-2</c:v>
                </c:pt>
                <c:pt idx="19">
                  <c:v>3.1899999999999998E-2</c:v>
                </c:pt>
                <c:pt idx="20">
                  <c:v>3.2300000000000002E-2</c:v>
                </c:pt>
                <c:pt idx="21">
                  <c:v>3.2800000000000003E-2</c:v>
                </c:pt>
                <c:pt idx="22">
                  <c:v>3.32E-2</c:v>
                </c:pt>
                <c:pt idx="23">
                  <c:v>3.3599999999999998E-2</c:v>
                </c:pt>
                <c:pt idx="24">
                  <c:v>3.4000000000000002E-2</c:v>
                </c:pt>
                <c:pt idx="25">
                  <c:v>3.4299999999999997E-2</c:v>
                </c:pt>
                <c:pt idx="26">
                  <c:v>3.4599999999999999E-2</c:v>
                </c:pt>
                <c:pt idx="27">
                  <c:v>3.5000000000000003E-2</c:v>
                </c:pt>
                <c:pt idx="28">
                  <c:v>3.5299999999999998E-2</c:v>
                </c:pt>
                <c:pt idx="29">
                  <c:v>3.56E-2</c:v>
                </c:pt>
                <c:pt idx="30">
                  <c:v>3.5900000000000001E-2</c:v>
                </c:pt>
                <c:pt idx="31">
                  <c:v>3.6200000000000003E-2</c:v>
                </c:pt>
                <c:pt idx="32">
                  <c:v>3.6600000000000001E-2</c:v>
                </c:pt>
                <c:pt idx="33">
                  <c:v>3.6799999999999999E-2</c:v>
                </c:pt>
                <c:pt idx="34">
                  <c:v>3.7100000000000001E-2</c:v>
                </c:pt>
                <c:pt idx="35">
                  <c:v>3.7400000000000003E-2</c:v>
                </c:pt>
                <c:pt idx="36">
                  <c:v>3.7600000000000001E-2</c:v>
                </c:pt>
                <c:pt idx="37">
                  <c:v>3.78E-2</c:v>
                </c:pt>
                <c:pt idx="38">
                  <c:v>3.7999999999999999E-2</c:v>
                </c:pt>
                <c:pt idx="39">
                  <c:v>3.8399999999999997E-2</c:v>
                </c:pt>
                <c:pt idx="40">
                  <c:v>3.8699999999999998E-2</c:v>
                </c:pt>
                <c:pt idx="41">
                  <c:v>3.9E-2</c:v>
                </c:pt>
                <c:pt idx="42">
                  <c:v>3.9199999999999999E-2</c:v>
                </c:pt>
                <c:pt idx="43">
                  <c:v>3.95E-2</c:v>
                </c:pt>
                <c:pt idx="44">
                  <c:v>3.9800000000000002E-2</c:v>
                </c:pt>
                <c:pt idx="45">
                  <c:v>0.04</c:v>
                </c:pt>
                <c:pt idx="46">
                  <c:v>4.02E-2</c:v>
                </c:pt>
                <c:pt idx="47">
                  <c:v>4.0500000000000001E-2</c:v>
                </c:pt>
                <c:pt idx="48">
                  <c:v>4.0800000000000003E-2</c:v>
                </c:pt>
                <c:pt idx="49">
                  <c:v>4.1000000000000002E-2</c:v>
                </c:pt>
                <c:pt idx="50">
                  <c:v>4.1300000000000003E-2</c:v>
                </c:pt>
                <c:pt idx="51">
                  <c:v>4.1599999999999998E-2</c:v>
                </c:pt>
                <c:pt idx="52">
                  <c:v>4.1799999999999997E-2</c:v>
                </c:pt>
                <c:pt idx="53">
                  <c:v>4.2099999999999999E-2</c:v>
                </c:pt>
                <c:pt idx="54">
                  <c:v>4.24E-2</c:v>
                </c:pt>
                <c:pt idx="55">
                  <c:v>4.2599999999999999E-2</c:v>
                </c:pt>
                <c:pt idx="56">
                  <c:v>4.2799999999999998E-2</c:v>
                </c:pt>
                <c:pt idx="57">
                  <c:v>4.2999999999999997E-2</c:v>
                </c:pt>
                <c:pt idx="58">
                  <c:v>4.3200000000000002E-2</c:v>
                </c:pt>
                <c:pt idx="59">
                  <c:v>4.3299999999999998E-2</c:v>
                </c:pt>
                <c:pt idx="60">
                  <c:v>4.36E-2</c:v>
                </c:pt>
                <c:pt idx="61">
                  <c:v>4.3799999999999999E-2</c:v>
                </c:pt>
                <c:pt idx="62">
                  <c:v>4.3999999999999997E-2</c:v>
                </c:pt>
                <c:pt idx="63">
                  <c:v>4.4299999999999999E-2</c:v>
                </c:pt>
                <c:pt idx="64">
                  <c:v>4.4499999999999998E-2</c:v>
                </c:pt>
                <c:pt idx="65">
                  <c:v>4.4699999999999997E-2</c:v>
                </c:pt>
                <c:pt idx="66">
                  <c:v>4.4900000000000002E-2</c:v>
                </c:pt>
                <c:pt idx="67">
                  <c:v>4.53E-2</c:v>
                </c:pt>
                <c:pt idx="68">
                  <c:v>4.5499999999999999E-2</c:v>
                </c:pt>
                <c:pt idx="69">
                  <c:v>4.5699999999999998E-2</c:v>
                </c:pt>
                <c:pt idx="70">
                  <c:v>4.5999999999999999E-2</c:v>
                </c:pt>
                <c:pt idx="71">
                  <c:v>4.6300000000000001E-2</c:v>
                </c:pt>
                <c:pt idx="72">
                  <c:v>4.6600000000000003E-2</c:v>
                </c:pt>
                <c:pt idx="73">
                  <c:v>4.6800000000000001E-2</c:v>
                </c:pt>
                <c:pt idx="74">
                  <c:v>4.7199999999999999E-2</c:v>
                </c:pt>
                <c:pt idx="75">
                  <c:v>4.7500000000000001E-2</c:v>
                </c:pt>
                <c:pt idx="76">
                  <c:v>4.7899999999999998E-2</c:v>
                </c:pt>
                <c:pt idx="77">
                  <c:v>4.82E-2</c:v>
                </c:pt>
                <c:pt idx="78">
                  <c:v>4.8599999999999997E-2</c:v>
                </c:pt>
                <c:pt idx="79">
                  <c:v>4.8899999999999999E-2</c:v>
                </c:pt>
                <c:pt idx="80">
                  <c:v>4.9200000000000001E-2</c:v>
                </c:pt>
                <c:pt idx="81">
                  <c:v>4.9700000000000001E-2</c:v>
                </c:pt>
                <c:pt idx="82">
                  <c:v>5.0099999999999999E-2</c:v>
                </c:pt>
                <c:pt idx="83">
                  <c:v>5.0599999999999999E-2</c:v>
                </c:pt>
                <c:pt idx="84">
                  <c:v>5.0999999999999997E-2</c:v>
                </c:pt>
                <c:pt idx="85">
                  <c:v>5.1499999999999997E-2</c:v>
                </c:pt>
                <c:pt idx="86">
                  <c:v>5.1999999999999998E-2</c:v>
                </c:pt>
                <c:pt idx="87">
                  <c:v>5.2600000000000001E-2</c:v>
                </c:pt>
                <c:pt idx="88">
                  <c:v>5.3100000000000001E-2</c:v>
                </c:pt>
                <c:pt idx="89">
                  <c:v>5.3800000000000001E-2</c:v>
                </c:pt>
                <c:pt idx="90">
                  <c:v>5.45E-2</c:v>
                </c:pt>
                <c:pt idx="91">
                  <c:v>5.5300000000000002E-2</c:v>
                </c:pt>
                <c:pt idx="92">
                  <c:v>5.6000000000000001E-2</c:v>
                </c:pt>
                <c:pt idx="93">
                  <c:v>5.7000000000000002E-2</c:v>
                </c:pt>
                <c:pt idx="94">
                  <c:v>5.8099999999999999E-2</c:v>
                </c:pt>
                <c:pt idx="95">
                  <c:v>5.91E-2</c:v>
                </c:pt>
                <c:pt idx="96">
                  <c:v>6.0100000000000001E-2</c:v>
                </c:pt>
                <c:pt idx="97">
                  <c:v>6.08E-2</c:v>
                </c:pt>
                <c:pt idx="98">
                  <c:v>6.2199999999999998E-2</c:v>
                </c:pt>
                <c:pt idx="99">
                  <c:v>6.4399999999999999E-2</c:v>
                </c:pt>
              </c:numCache>
            </c:numRef>
          </c:val>
          <c:extLst xmlns:c16r2="http://schemas.microsoft.com/office/drawing/2015/06/chart">
            <c:ext xmlns:c16="http://schemas.microsoft.com/office/drawing/2014/chart" uri="{C3380CC4-5D6E-409C-BE32-E72D297353CC}">
              <c16:uniqueId val="{00000000-67F8-457C-B519-33162EDD4EC6}"/>
            </c:ext>
          </c:extLst>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4.1992595879406659E-2</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67F8-457C-B519-33162EDD4EC6}"/>
            </c:ext>
          </c:extLst>
        </c:ser>
        <c:dLbls>
          <c:showLegendKey val="0"/>
          <c:showVal val="0"/>
          <c:showCatName val="0"/>
          <c:showSerName val="0"/>
          <c:showPercent val="0"/>
          <c:showBubbleSize val="0"/>
        </c:dLbls>
        <c:gapWidth val="0"/>
        <c:overlap val="100"/>
        <c:axId val="394004208"/>
        <c:axId val="39400476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2.3119801651363805E-2</c:v>
                </c:pt>
                <c:pt idx="1">
                  <c:v>2.3119801651363805E-2</c:v>
                </c:pt>
                <c:pt idx="2">
                  <c:v>2.3119801651363805E-2</c:v>
                </c:pt>
                <c:pt idx="3">
                  <c:v>2.3119801651363805E-2</c:v>
                </c:pt>
                <c:pt idx="4">
                  <c:v>2.3119801651363805E-2</c:v>
                </c:pt>
                <c:pt idx="5">
                  <c:v>2.3119801651363805E-2</c:v>
                </c:pt>
                <c:pt idx="6">
                  <c:v>2.3119801651363805E-2</c:v>
                </c:pt>
                <c:pt idx="7">
                  <c:v>2.3119801651363805E-2</c:v>
                </c:pt>
                <c:pt idx="8">
                  <c:v>2.3119801651363805E-2</c:v>
                </c:pt>
                <c:pt idx="9">
                  <c:v>2.3119801651363805E-2</c:v>
                </c:pt>
                <c:pt idx="10">
                  <c:v>2.3119801651363805E-2</c:v>
                </c:pt>
                <c:pt idx="11">
                  <c:v>2.3119801651363805E-2</c:v>
                </c:pt>
                <c:pt idx="12">
                  <c:v>2.3119801651363805E-2</c:v>
                </c:pt>
                <c:pt idx="13">
                  <c:v>2.3119801651363805E-2</c:v>
                </c:pt>
                <c:pt idx="14">
                  <c:v>2.3119801651363805E-2</c:v>
                </c:pt>
                <c:pt idx="15">
                  <c:v>2.3119801651363805E-2</c:v>
                </c:pt>
                <c:pt idx="16">
                  <c:v>2.3119801651363805E-2</c:v>
                </c:pt>
                <c:pt idx="17">
                  <c:v>2.3119801651363805E-2</c:v>
                </c:pt>
                <c:pt idx="18">
                  <c:v>2.3119801651363805E-2</c:v>
                </c:pt>
                <c:pt idx="19">
                  <c:v>2.3119801651363805E-2</c:v>
                </c:pt>
                <c:pt idx="20">
                  <c:v>2.3119801651363805E-2</c:v>
                </c:pt>
                <c:pt idx="21">
                  <c:v>2.3119801651363805E-2</c:v>
                </c:pt>
                <c:pt idx="22">
                  <c:v>2.3119801651363805E-2</c:v>
                </c:pt>
                <c:pt idx="23">
                  <c:v>2.3119801651363805E-2</c:v>
                </c:pt>
                <c:pt idx="24">
                  <c:v>2.3119801651363805E-2</c:v>
                </c:pt>
                <c:pt idx="25">
                  <c:v>2.3119801651363805E-2</c:v>
                </c:pt>
                <c:pt idx="26">
                  <c:v>2.3119801651363805E-2</c:v>
                </c:pt>
                <c:pt idx="27">
                  <c:v>2.3119801651363805E-2</c:v>
                </c:pt>
                <c:pt idx="28">
                  <c:v>2.3119801651363805E-2</c:v>
                </c:pt>
                <c:pt idx="29">
                  <c:v>2.3119801651363805E-2</c:v>
                </c:pt>
                <c:pt idx="30">
                  <c:v>2.3119801651363805E-2</c:v>
                </c:pt>
                <c:pt idx="31">
                  <c:v>2.3119801651363805E-2</c:v>
                </c:pt>
                <c:pt idx="32">
                  <c:v>2.3119801651363805E-2</c:v>
                </c:pt>
                <c:pt idx="33">
                  <c:v>2.3119801651363805E-2</c:v>
                </c:pt>
                <c:pt idx="34">
                  <c:v>2.3119801651363805E-2</c:v>
                </c:pt>
                <c:pt idx="35">
                  <c:v>2.3119801651363805E-2</c:v>
                </c:pt>
                <c:pt idx="36">
                  <c:v>2.3119801651363805E-2</c:v>
                </c:pt>
                <c:pt idx="37">
                  <c:v>2.3119801651363805E-2</c:v>
                </c:pt>
                <c:pt idx="38">
                  <c:v>2.3119801651363805E-2</c:v>
                </c:pt>
                <c:pt idx="39">
                  <c:v>2.3119801651363805E-2</c:v>
                </c:pt>
                <c:pt idx="40">
                  <c:v>2.3119801651363805E-2</c:v>
                </c:pt>
                <c:pt idx="41">
                  <c:v>2.3119801651363805E-2</c:v>
                </c:pt>
                <c:pt idx="42">
                  <c:v>2.3119801651363805E-2</c:v>
                </c:pt>
                <c:pt idx="43">
                  <c:v>2.3119801651363805E-2</c:v>
                </c:pt>
                <c:pt idx="44">
                  <c:v>2.3119801651363805E-2</c:v>
                </c:pt>
                <c:pt idx="45">
                  <c:v>2.3119801651363805E-2</c:v>
                </c:pt>
                <c:pt idx="46">
                  <c:v>2.3119801651363805E-2</c:v>
                </c:pt>
                <c:pt idx="47">
                  <c:v>2.3119801651363805E-2</c:v>
                </c:pt>
                <c:pt idx="48">
                  <c:v>2.3119801651363805E-2</c:v>
                </c:pt>
                <c:pt idx="49">
                  <c:v>2.3119801651363805E-2</c:v>
                </c:pt>
                <c:pt idx="50">
                  <c:v>2.3119801651363805E-2</c:v>
                </c:pt>
                <c:pt idx="51">
                  <c:v>2.3119801651363805E-2</c:v>
                </c:pt>
                <c:pt idx="52">
                  <c:v>2.3119801651363805E-2</c:v>
                </c:pt>
                <c:pt idx="53">
                  <c:v>2.3119801651363805E-2</c:v>
                </c:pt>
                <c:pt idx="54">
                  <c:v>2.3119801651363805E-2</c:v>
                </c:pt>
                <c:pt idx="55">
                  <c:v>2.3119801651363805E-2</c:v>
                </c:pt>
                <c:pt idx="56">
                  <c:v>2.3119801651363805E-2</c:v>
                </c:pt>
                <c:pt idx="57">
                  <c:v>2.3119801651363805E-2</c:v>
                </c:pt>
                <c:pt idx="58">
                  <c:v>2.3119801651363805E-2</c:v>
                </c:pt>
                <c:pt idx="59">
                  <c:v>2.3119801651363805E-2</c:v>
                </c:pt>
                <c:pt idx="60">
                  <c:v>2.3119801651363805E-2</c:v>
                </c:pt>
                <c:pt idx="61">
                  <c:v>2.3119801651363805E-2</c:v>
                </c:pt>
                <c:pt idx="62">
                  <c:v>2.3119801651363805E-2</c:v>
                </c:pt>
                <c:pt idx="63">
                  <c:v>2.3119801651363805E-2</c:v>
                </c:pt>
                <c:pt idx="64">
                  <c:v>2.3119801651363805E-2</c:v>
                </c:pt>
                <c:pt idx="65">
                  <c:v>2.3119801651363805E-2</c:v>
                </c:pt>
                <c:pt idx="66">
                  <c:v>2.3119801651363805E-2</c:v>
                </c:pt>
                <c:pt idx="67">
                  <c:v>2.3119801651363805E-2</c:v>
                </c:pt>
                <c:pt idx="68">
                  <c:v>2.3119801651363805E-2</c:v>
                </c:pt>
                <c:pt idx="69">
                  <c:v>2.3119801651363805E-2</c:v>
                </c:pt>
                <c:pt idx="70">
                  <c:v>2.3119801651363805E-2</c:v>
                </c:pt>
                <c:pt idx="71">
                  <c:v>2.3119801651363805E-2</c:v>
                </c:pt>
                <c:pt idx="72">
                  <c:v>2.3119801651363805E-2</c:v>
                </c:pt>
                <c:pt idx="73">
                  <c:v>2.3119801651363805E-2</c:v>
                </c:pt>
                <c:pt idx="74">
                  <c:v>2.3119801651363805E-2</c:v>
                </c:pt>
                <c:pt idx="75">
                  <c:v>2.3119801651363805E-2</c:v>
                </c:pt>
                <c:pt idx="76">
                  <c:v>2.3119801651363805E-2</c:v>
                </c:pt>
                <c:pt idx="77">
                  <c:v>2.3119801651363805E-2</c:v>
                </c:pt>
                <c:pt idx="78">
                  <c:v>2.3119801651363805E-2</c:v>
                </c:pt>
                <c:pt idx="79">
                  <c:v>2.3119801651363805E-2</c:v>
                </c:pt>
                <c:pt idx="80">
                  <c:v>2.3119801651363805E-2</c:v>
                </c:pt>
                <c:pt idx="81">
                  <c:v>2.3119801651363805E-2</c:v>
                </c:pt>
                <c:pt idx="82">
                  <c:v>2.3119801651363805E-2</c:v>
                </c:pt>
                <c:pt idx="83">
                  <c:v>2.3119801651363805E-2</c:v>
                </c:pt>
                <c:pt idx="84">
                  <c:v>2.3119801651363805E-2</c:v>
                </c:pt>
                <c:pt idx="85">
                  <c:v>2.3119801651363805E-2</c:v>
                </c:pt>
                <c:pt idx="86">
                  <c:v>2.3119801651363805E-2</c:v>
                </c:pt>
                <c:pt idx="87">
                  <c:v>2.3119801651363805E-2</c:v>
                </c:pt>
                <c:pt idx="88">
                  <c:v>2.3119801651363805E-2</c:v>
                </c:pt>
                <c:pt idx="89">
                  <c:v>2.3119801651363805E-2</c:v>
                </c:pt>
                <c:pt idx="90">
                  <c:v>2.3119801651363805E-2</c:v>
                </c:pt>
                <c:pt idx="91">
                  <c:v>2.3119801651363805E-2</c:v>
                </c:pt>
                <c:pt idx="92">
                  <c:v>2.3119801651363805E-2</c:v>
                </c:pt>
                <c:pt idx="93">
                  <c:v>2.3119801651363805E-2</c:v>
                </c:pt>
                <c:pt idx="94">
                  <c:v>2.3119801651363805E-2</c:v>
                </c:pt>
                <c:pt idx="95">
                  <c:v>2.3119801651363805E-2</c:v>
                </c:pt>
                <c:pt idx="96">
                  <c:v>2.3119801651363805E-2</c:v>
                </c:pt>
                <c:pt idx="97">
                  <c:v>2.3119801651363805E-2</c:v>
                </c:pt>
                <c:pt idx="98">
                  <c:v>2.3119801651363805E-2</c:v>
                </c:pt>
                <c:pt idx="99">
                  <c:v>2.3119801651363805E-2</c:v>
                </c:pt>
              </c:numCache>
            </c:numRef>
          </c:val>
          <c:smooth val="0"/>
          <c:extLst xmlns:c16r2="http://schemas.microsoft.com/office/drawing/2015/06/chart">
            <c:ext xmlns:c16="http://schemas.microsoft.com/office/drawing/2014/chart" uri="{C3380CC4-5D6E-409C-BE32-E72D297353CC}">
              <c16:uniqueId val="{00000002-67F8-457C-B519-33162EDD4EC6}"/>
            </c:ext>
          </c:extLst>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9.2479206605455225E-3</c:v>
                </c:pt>
                <c:pt idx="1">
                  <c:v>9.2479206605455225E-3</c:v>
                </c:pt>
                <c:pt idx="2">
                  <c:v>9.2479206605455225E-3</c:v>
                </c:pt>
                <c:pt idx="3">
                  <c:v>9.2479206605455225E-3</c:v>
                </c:pt>
                <c:pt idx="4">
                  <c:v>9.2479206605455225E-3</c:v>
                </c:pt>
                <c:pt idx="5">
                  <c:v>9.2479206605455225E-3</c:v>
                </c:pt>
                <c:pt idx="6">
                  <c:v>9.2479206605455225E-3</c:v>
                </c:pt>
                <c:pt idx="7">
                  <c:v>9.2479206605455225E-3</c:v>
                </c:pt>
                <c:pt idx="8">
                  <c:v>9.2479206605455225E-3</c:v>
                </c:pt>
                <c:pt idx="9">
                  <c:v>9.2479206605455225E-3</c:v>
                </c:pt>
                <c:pt idx="10">
                  <c:v>9.2479206605455225E-3</c:v>
                </c:pt>
                <c:pt idx="11">
                  <c:v>9.2479206605455225E-3</c:v>
                </c:pt>
                <c:pt idx="12">
                  <c:v>9.2479206605455225E-3</c:v>
                </c:pt>
                <c:pt idx="13">
                  <c:v>9.2479206605455225E-3</c:v>
                </c:pt>
                <c:pt idx="14">
                  <c:v>9.2479206605455225E-3</c:v>
                </c:pt>
                <c:pt idx="15">
                  <c:v>9.2479206605455225E-3</c:v>
                </c:pt>
                <c:pt idx="16">
                  <c:v>9.2479206605455225E-3</c:v>
                </c:pt>
                <c:pt idx="17">
                  <c:v>9.2479206605455225E-3</c:v>
                </c:pt>
                <c:pt idx="18">
                  <c:v>9.2479206605455225E-3</c:v>
                </c:pt>
                <c:pt idx="19">
                  <c:v>9.2479206605455225E-3</c:v>
                </c:pt>
                <c:pt idx="20">
                  <c:v>9.2479206605455225E-3</c:v>
                </c:pt>
                <c:pt idx="21">
                  <c:v>9.2479206605455225E-3</c:v>
                </c:pt>
                <c:pt idx="22">
                  <c:v>9.2479206605455225E-3</c:v>
                </c:pt>
                <c:pt idx="23">
                  <c:v>9.2479206605455225E-3</c:v>
                </c:pt>
                <c:pt idx="24">
                  <c:v>9.2479206605455225E-3</c:v>
                </c:pt>
                <c:pt idx="25">
                  <c:v>9.2479206605455225E-3</c:v>
                </c:pt>
                <c:pt idx="26">
                  <c:v>9.2479206605455225E-3</c:v>
                </c:pt>
                <c:pt idx="27">
                  <c:v>9.2479206605455225E-3</c:v>
                </c:pt>
                <c:pt idx="28">
                  <c:v>9.2479206605455225E-3</c:v>
                </c:pt>
                <c:pt idx="29">
                  <c:v>9.2479206605455225E-3</c:v>
                </c:pt>
                <c:pt idx="30">
                  <c:v>9.2479206605455225E-3</c:v>
                </c:pt>
                <c:pt idx="31">
                  <c:v>9.2479206605455225E-3</c:v>
                </c:pt>
                <c:pt idx="32">
                  <c:v>9.2479206605455225E-3</c:v>
                </c:pt>
                <c:pt idx="33">
                  <c:v>9.2479206605455225E-3</c:v>
                </c:pt>
                <c:pt idx="34">
                  <c:v>9.2479206605455225E-3</c:v>
                </c:pt>
                <c:pt idx="35">
                  <c:v>9.2479206605455225E-3</c:v>
                </c:pt>
                <c:pt idx="36">
                  <c:v>9.2479206605455225E-3</c:v>
                </c:pt>
                <c:pt idx="37">
                  <c:v>9.2479206605455225E-3</c:v>
                </c:pt>
                <c:pt idx="38">
                  <c:v>9.2479206605455225E-3</c:v>
                </c:pt>
                <c:pt idx="39">
                  <c:v>9.2479206605455225E-3</c:v>
                </c:pt>
                <c:pt idx="40">
                  <c:v>9.2479206605455225E-3</c:v>
                </c:pt>
                <c:pt idx="41">
                  <c:v>9.2479206605455225E-3</c:v>
                </c:pt>
                <c:pt idx="42">
                  <c:v>9.2479206605455225E-3</c:v>
                </c:pt>
                <c:pt idx="43">
                  <c:v>9.2479206605455225E-3</c:v>
                </c:pt>
                <c:pt idx="44">
                  <c:v>9.2479206605455225E-3</c:v>
                </c:pt>
                <c:pt idx="45">
                  <c:v>9.2479206605455225E-3</c:v>
                </c:pt>
                <c:pt idx="46">
                  <c:v>9.2479206605455225E-3</c:v>
                </c:pt>
                <c:pt idx="47">
                  <c:v>9.2479206605455225E-3</c:v>
                </c:pt>
                <c:pt idx="48">
                  <c:v>9.2479206605455225E-3</c:v>
                </c:pt>
                <c:pt idx="49">
                  <c:v>9.2479206605455225E-3</c:v>
                </c:pt>
                <c:pt idx="50">
                  <c:v>9.2479206605455225E-3</c:v>
                </c:pt>
                <c:pt idx="51">
                  <c:v>9.2479206605455225E-3</c:v>
                </c:pt>
                <c:pt idx="52">
                  <c:v>9.2479206605455225E-3</c:v>
                </c:pt>
                <c:pt idx="53">
                  <c:v>9.2479206605455225E-3</c:v>
                </c:pt>
                <c:pt idx="54">
                  <c:v>9.2479206605455225E-3</c:v>
                </c:pt>
                <c:pt idx="55">
                  <c:v>9.2479206605455225E-3</c:v>
                </c:pt>
                <c:pt idx="56">
                  <c:v>9.2479206605455225E-3</c:v>
                </c:pt>
                <c:pt idx="57">
                  <c:v>9.2479206605455225E-3</c:v>
                </c:pt>
                <c:pt idx="58">
                  <c:v>9.2479206605455225E-3</c:v>
                </c:pt>
                <c:pt idx="59">
                  <c:v>9.2479206605455225E-3</c:v>
                </c:pt>
                <c:pt idx="60">
                  <c:v>9.2479206605455225E-3</c:v>
                </c:pt>
                <c:pt idx="61">
                  <c:v>9.2479206605455225E-3</c:v>
                </c:pt>
                <c:pt idx="62">
                  <c:v>9.2479206605455225E-3</c:v>
                </c:pt>
                <c:pt idx="63">
                  <c:v>9.2479206605455225E-3</c:v>
                </c:pt>
                <c:pt idx="64">
                  <c:v>9.2479206605455225E-3</c:v>
                </c:pt>
                <c:pt idx="65">
                  <c:v>9.2479206605455225E-3</c:v>
                </c:pt>
                <c:pt idx="66">
                  <c:v>9.2479206605455225E-3</c:v>
                </c:pt>
                <c:pt idx="67">
                  <c:v>9.2479206605455225E-3</c:v>
                </c:pt>
                <c:pt idx="68">
                  <c:v>9.2479206605455225E-3</c:v>
                </c:pt>
                <c:pt idx="69">
                  <c:v>9.2479206605455225E-3</c:v>
                </c:pt>
                <c:pt idx="70">
                  <c:v>9.2479206605455225E-3</c:v>
                </c:pt>
                <c:pt idx="71">
                  <c:v>9.2479206605455225E-3</c:v>
                </c:pt>
                <c:pt idx="72">
                  <c:v>9.2479206605455225E-3</c:v>
                </c:pt>
                <c:pt idx="73">
                  <c:v>9.2479206605455225E-3</c:v>
                </c:pt>
                <c:pt idx="74">
                  <c:v>9.2479206605455225E-3</c:v>
                </c:pt>
                <c:pt idx="75">
                  <c:v>9.2479206605455225E-3</c:v>
                </c:pt>
                <c:pt idx="76">
                  <c:v>9.2479206605455225E-3</c:v>
                </c:pt>
                <c:pt idx="77">
                  <c:v>9.2479206605455225E-3</c:v>
                </c:pt>
                <c:pt idx="78">
                  <c:v>9.2479206605455225E-3</c:v>
                </c:pt>
                <c:pt idx="79">
                  <c:v>9.2479206605455225E-3</c:v>
                </c:pt>
                <c:pt idx="80">
                  <c:v>9.2479206605455225E-3</c:v>
                </c:pt>
                <c:pt idx="81">
                  <c:v>9.2479206605455225E-3</c:v>
                </c:pt>
                <c:pt idx="82">
                  <c:v>9.2479206605455225E-3</c:v>
                </c:pt>
                <c:pt idx="83">
                  <c:v>9.2479206605455225E-3</c:v>
                </c:pt>
                <c:pt idx="84">
                  <c:v>9.2479206605455225E-3</c:v>
                </c:pt>
                <c:pt idx="85">
                  <c:v>9.2479206605455225E-3</c:v>
                </c:pt>
                <c:pt idx="86">
                  <c:v>9.2479206605455225E-3</c:v>
                </c:pt>
                <c:pt idx="87">
                  <c:v>9.2479206605455225E-3</c:v>
                </c:pt>
                <c:pt idx="88">
                  <c:v>9.2479206605455225E-3</c:v>
                </c:pt>
                <c:pt idx="89">
                  <c:v>9.2479206605455225E-3</c:v>
                </c:pt>
                <c:pt idx="90">
                  <c:v>9.2479206605455225E-3</c:v>
                </c:pt>
                <c:pt idx="91">
                  <c:v>9.2479206605455225E-3</c:v>
                </c:pt>
                <c:pt idx="92">
                  <c:v>9.2479206605455225E-3</c:v>
                </c:pt>
                <c:pt idx="93">
                  <c:v>9.2479206605455225E-3</c:v>
                </c:pt>
                <c:pt idx="94">
                  <c:v>9.2479206605455225E-3</c:v>
                </c:pt>
                <c:pt idx="95">
                  <c:v>9.2479206605455225E-3</c:v>
                </c:pt>
                <c:pt idx="96">
                  <c:v>9.2479206605455225E-3</c:v>
                </c:pt>
                <c:pt idx="97">
                  <c:v>9.2479206605455225E-3</c:v>
                </c:pt>
                <c:pt idx="98">
                  <c:v>9.2479206605455225E-3</c:v>
                </c:pt>
                <c:pt idx="99">
                  <c:v>9.2479206605455225E-3</c:v>
                </c:pt>
              </c:numCache>
            </c:numRef>
          </c:val>
          <c:smooth val="0"/>
          <c:extLst xmlns:c16r2="http://schemas.microsoft.com/office/drawing/2015/06/chart">
            <c:ext xmlns:c16="http://schemas.microsoft.com/office/drawing/2014/chart" uri="{C3380CC4-5D6E-409C-BE32-E72D297353CC}">
              <c16:uniqueId val="{00000003-67F8-457C-B519-33162EDD4EC6}"/>
            </c:ext>
          </c:extLst>
        </c:ser>
        <c:dLbls>
          <c:showLegendKey val="0"/>
          <c:showVal val="0"/>
          <c:showCatName val="0"/>
          <c:showSerName val="0"/>
          <c:showPercent val="0"/>
          <c:showBubbleSize val="0"/>
        </c:dLbls>
        <c:marker val="1"/>
        <c:smooth val="0"/>
        <c:axId val="394004208"/>
        <c:axId val="394004768"/>
      </c:lineChart>
      <c:catAx>
        <c:axId val="39400420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4004768"/>
        <c:crosses val="autoZero"/>
        <c:auto val="1"/>
        <c:lblAlgn val="ctr"/>
        <c:lblOffset val="500"/>
        <c:tickLblSkip val="5"/>
        <c:noMultiLvlLbl val="0"/>
      </c:catAx>
      <c:valAx>
        <c:axId val="3940047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4004208"/>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25.87</c:v>
                </c:pt>
                <c:pt idx="1">
                  <c:v>27.43</c:v>
                </c:pt>
                <c:pt idx="2">
                  <c:v>29.24</c:v>
                </c:pt>
                <c:pt idx="3">
                  <c:v>31.03</c:v>
                </c:pt>
                <c:pt idx="4">
                  <c:v>33.21</c:v>
                </c:pt>
                <c:pt idx="5">
                  <c:v>34.26</c:v>
                </c:pt>
                <c:pt idx="6">
                  <c:v>35.880000000000003</c:v>
                </c:pt>
                <c:pt idx="7">
                  <c:v>37.03</c:v>
                </c:pt>
                <c:pt idx="8">
                  <c:v>39.380000000000003</c:v>
                </c:pt>
                <c:pt idx="9">
                  <c:v>40.81</c:v>
                </c:pt>
                <c:pt idx="10">
                  <c:v>43.01</c:v>
                </c:pt>
                <c:pt idx="11">
                  <c:v>43.7</c:v>
                </c:pt>
                <c:pt idx="12">
                  <c:v>44.43</c:v>
                </c:pt>
                <c:pt idx="13">
                  <c:v>45.09</c:v>
                </c:pt>
                <c:pt idx="14">
                  <c:v>46.65</c:v>
                </c:pt>
                <c:pt idx="15">
                  <c:v>48.2</c:v>
                </c:pt>
                <c:pt idx="16">
                  <c:v>49.74</c:v>
                </c:pt>
                <c:pt idx="17">
                  <c:v>50.41</c:v>
                </c:pt>
                <c:pt idx="18">
                  <c:v>51.37</c:v>
                </c:pt>
                <c:pt idx="19">
                  <c:v>52.03</c:v>
                </c:pt>
                <c:pt idx="20">
                  <c:v>53.09</c:v>
                </c:pt>
                <c:pt idx="21">
                  <c:v>53.56</c:v>
                </c:pt>
                <c:pt idx="22">
                  <c:v>54.36</c:v>
                </c:pt>
                <c:pt idx="23">
                  <c:v>55.19</c:v>
                </c:pt>
                <c:pt idx="24">
                  <c:v>56.04</c:v>
                </c:pt>
                <c:pt idx="25">
                  <c:v>57.15</c:v>
                </c:pt>
                <c:pt idx="26">
                  <c:v>57.82</c:v>
                </c:pt>
                <c:pt idx="27">
                  <c:v>58.72</c:v>
                </c:pt>
                <c:pt idx="28">
                  <c:v>59.56</c:v>
                </c:pt>
                <c:pt idx="29">
                  <c:v>60.39</c:v>
                </c:pt>
                <c:pt idx="30">
                  <c:v>61.46</c:v>
                </c:pt>
                <c:pt idx="31">
                  <c:v>62</c:v>
                </c:pt>
                <c:pt idx="32">
                  <c:v>62.74</c:v>
                </c:pt>
                <c:pt idx="33">
                  <c:v>63.41</c:v>
                </c:pt>
                <c:pt idx="34">
                  <c:v>64.209999999999994</c:v>
                </c:pt>
                <c:pt idx="35">
                  <c:v>64.930000000000007</c:v>
                </c:pt>
                <c:pt idx="36">
                  <c:v>65.72</c:v>
                </c:pt>
                <c:pt idx="37">
                  <c:v>66.61</c:v>
                </c:pt>
                <c:pt idx="38">
                  <c:v>67.7</c:v>
                </c:pt>
                <c:pt idx="39">
                  <c:v>68.63</c:v>
                </c:pt>
                <c:pt idx="40">
                  <c:v>69.569999999999993</c:v>
                </c:pt>
                <c:pt idx="41">
                  <c:v>70.239999999999995</c:v>
                </c:pt>
                <c:pt idx="42">
                  <c:v>70.819999999999993</c:v>
                </c:pt>
                <c:pt idx="43">
                  <c:v>71.33</c:v>
                </c:pt>
                <c:pt idx="44">
                  <c:v>72.319999999999993</c:v>
                </c:pt>
                <c:pt idx="45">
                  <c:v>72.989999999999995</c:v>
                </c:pt>
                <c:pt idx="46">
                  <c:v>73.47</c:v>
                </c:pt>
                <c:pt idx="47">
                  <c:v>74.53</c:v>
                </c:pt>
                <c:pt idx="48">
                  <c:v>75.37</c:v>
                </c:pt>
                <c:pt idx="49">
                  <c:v>76.069999999999993</c:v>
                </c:pt>
                <c:pt idx="50">
                  <c:v>76.81</c:v>
                </c:pt>
                <c:pt idx="51">
                  <c:v>77.44</c:v>
                </c:pt>
                <c:pt idx="52">
                  <c:v>77.94</c:v>
                </c:pt>
                <c:pt idx="53">
                  <c:v>79.3</c:v>
                </c:pt>
                <c:pt idx="54">
                  <c:v>79.900000000000006</c:v>
                </c:pt>
                <c:pt idx="55">
                  <c:v>80.290000000000006</c:v>
                </c:pt>
                <c:pt idx="56">
                  <c:v>81.44</c:v>
                </c:pt>
                <c:pt idx="57">
                  <c:v>82.31</c:v>
                </c:pt>
                <c:pt idx="58">
                  <c:v>83.58</c:v>
                </c:pt>
                <c:pt idx="59">
                  <c:v>84.68</c:v>
                </c:pt>
                <c:pt idx="60">
                  <c:v>85.33</c:v>
                </c:pt>
                <c:pt idx="61">
                  <c:v>86.8</c:v>
                </c:pt>
                <c:pt idx="62">
                  <c:v>87.41</c:v>
                </c:pt>
                <c:pt idx="63">
                  <c:v>88.18</c:v>
                </c:pt>
                <c:pt idx="64">
                  <c:v>89.28</c:v>
                </c:pt>
                <c:pt idx="65">
                  <c:v>89.76</c:v>
                </c:pt>
                <c:pt idx="66">
                  <c:v>90.28</c:v>
                </c:pt>
                <c:pt idx="67">
                  <c:v>90.82</c:v>
                </c:pt>
                <c:pt idx="68">
                  <c:v>91.79</c:v>
                </c:pt>
                <c:pt idx="69">
                  <c:v>92.34</c:v>
                </c:pt>
                <c:pt idx="70">
                  <c:v>93.47</c:v>
                </c:pt>
                <c:pt idx="71">
                  <c:v>94.31</c:v>
                </c:pt>
                <c:pt idx="72">
                  <c:v>95.45</c:v>
                </c:pt>
                <c:pt idx="73">
                  <c:v>96.45</c:v>
                </c:pt>
                <c:pt idx="74">
                  <c:v>97.7</c:v>
                </c:pt>
                <c:pt idx="75">
                  <c:v>98.6</c:v>
                </c:pt>
                <c:pt idx="76">
                  <c:v>99.28</c:v>
                </c:pt>
                <c:pt idx="77">
                  <c:v>99.79</c:v>
                </c:pt>
                <c:pt idx="78">
                  <c:v>100.66</c:v>
                </c:pt>
                <c:pt idx="79">
                  <c:v>101.62</c:v>
                </c:pt>
                <c:pt idx="80">
                  <c:v>103.15</c:v>
                </c:pt>
                <c:pt idx="81">
                  <c:v>104.11</c:v>
                </c:pt>
                <c:pt idx="82">
                  <c:v>104.89</c:v>
                </c:pt>
                <c:pt idx="83">
                  <c:v>106.81</c:v>
                </c:pt>
                <c:pt idx="84">
                  <c:v>107.89</c:v>
                </c:pt>
                <c:pt idx="85">
                  <c:v>109.03</c:v>
                </c:pt>
                <c:pt idx="86">
                  <c:v>110.59</c:v>
                </c:pt>
                <c:pt idx="87">
                  <c:v>111.79</c:v>
                </c:pt>
                <c:pt idx="88">
                  <c:v>113.71</c:v>
                </c:pt>
                <c:pt idx="89">
                  <c:v>115.95</c:v>
                </c:pt>
                <c:pt idx="90">
                  <c:v>117.64</c:v>
                </c:pt>
                <c:pt idx="91">
                  <c:v>118.82</c:v>
                </c:pt>
                <c:pt idx="92">
                  <c:v>120.76</c:v>
                </c:pt>
                <c:pt idx="93">
                  <c:v>123.68</c:v>
                </c:pt>
                <c:pt idx="94">
                  <c:v>127.3</c:v>
                </c:pt>
                <c:pt idx="95">
                  <c:v>132.15</c:v>
                </c:pt>
                <c:pt idx="96">
                  <c:v>140.19</c:v>
                </c:pt>
                <c:pt idx="97">
                  <c:v>145.26</c:v>
                </c:pt>
                <c:pt idx="98">
                  <c:v>155.91999999999999</c:v>
                </c:pt>
                <c:pt idx="99">
                  <c:v>175.85</c:v>
                </c:pt>
              </c:numCache>
            </c:numRef>
          </c:val>
          <c:extLst xmlns:c16r2="http://schemas.microsoft.com/office/drawing/2015/06/chart">
            <c:ext xmlns:c16="http://schemas.microsoft.com/office/drawing/2014/chart" uri="{C3380CC4-5D6E-409C-BE32-E72D297353CC}">
              <c16:uniqueId val="{00000000-01DE-415A-B933-81F7D32A67AD}"/>
            </c:ext>
          </c:extLst>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109.52629968133131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01DE-415A-B933-81F7D32A67AD}"/>
            </c:ext>
          </c:extLst>
        </c:ser>
        <c:dLbls>
          <c:showLegendKey val="0"/>
          <c:showVal val="0"/>
          <c:showCatName val="0"/>
          <c:showSerName val="0"/>
          <c:showPercent val="0"/>
          <c:showBubbleSize val="0"/>
        </c:dLbls>
        <c:gapWidth val="0"/>
        <c:overlap val="100"/>
        <c:axId val="394009248"/>
        <c:axId val="47627321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132.71947843137252</c:v>
                </c:pt>
                <c:pt idx="1">
                  <c:v>132.71947843137252</c:v>
                </c:pt>
                <c:pt idx="2">
                  <c:v>132.71947843137252</c:v>
                </c:pt>
                <c:pt idx="3">
                  <c:v>132.71947843137252</c:v>
                </c:pt>
                <c:pt idx="4">
                  <c:v>132.71947843137252</c:v>
                </c:pt>
                <c:pt idx="5">
                  <c:v>132.71947843137252</c:v>
                </c:pt>
                <c:pt idx="6">
                  <c:v>132.71947843137252</c:v>
                </c:pt>
                <c:pt idx="7">
                  <c:v>132.71947843137252</c:v>
                </c:pt>
                <c:pt idx="8">
                  <c:v>132.71947843137252</c:v>
                </c:pt>
                <c:pt idx="9">
                  <c:v>132.71947843137252</c:v>
                </c:pt>
                <c:pt idx="10">
                  <c:v>132.71947843137252</c:v>
                </c:pt>
                <c:pt idx="11">
                  <c:v>132.71947843137252</c:v>
                </c:pt>
                <c:pt idx="12">
                  <c:v>132.71947843137252</c:v>
                </c:pt>
                <c:pt idx="13">
                  <c:v>132.71947843137252</c:v>
                </c:pt>
                <c:pt idx="14">
                  <c:v>132.71947843137252</c:v>
                </c:pt>
                <c:pt idx="15">
                  <c:v>132.71947843137252</c:v>
                </c:pt>
                <c:pt idx="16">
                  <c:v>132.71947843137252</c:v>
                </c:pt>
                <c:pt idx="17">
                  <c:v>132.71947843137252</c:v>
                </c:pt>
                <c:pt idx="18">
                  <c:v>132.71947843137252</c:v>
                </c:pt>
                <c:pt idx="19">
                  <c:v>132.71947843137252</c:v>
                </c:pt>
                <c:pt idx="20">
                  <c:v>132.71947843137252</c:v>
                </c:pt>
                <c:pt idx="21">
                  <c:v>132.71947843137252</c:v>
                </c:pt>
                <c:pt idx="22">
                  <c:v>132.71947843137252</c:v>
                </c:pt>
                <c:pt idx="23">
                  <c:v>132.71947843137252</c:v>
                </c:pt>
                <c:pt idx="24">
                  <c:v>132.71947843137252</c:v>
                </c:pt>
                <c:pt idx="25">
                  <c:v>132.71947843137252</c:v>
                </c:pt>
                <c:pt idx="26">
                  <c:v>132.71947843137252</c:v>
                </c:pt>
                <c:pt idx="27">
                  <c:v>132.71947843137252</c:v>
                </c:pt>
                <c:pt idx="28">
                  <c:v>132.71947843137252</c:v>
                </c:pt>
                <c:pt idx="29">
                  <c:v>132.71947843137252</c:v>
                </c:pt>
                <c:pt idx="30">
                  <c:v>132.71947843137252</c:v>
                </c:pt>
                <c:pt idx="31">
                  <c:v>132.71947843137252</c:v>
                </c:pt>
                <c:pt idx="32">
                  <c:v>132.71947843137252</c:v>
                </c:pt>
                <c:pt idx="33">
                  <c:v>132.71947843137252</c:v>
                </c:pt>
                <c:pt idx="34">
                  <c:v>132.71947843137252</c:v>
                </c:pt>
                <c:pt idx="35">
                  <c:v>132.71947843137252</c:v>
                </c:pt>
                <c:pt idx="36">
                  <c:v>132.71947843137252</c:v>
                </c:pt>
                <c:pt idx="37">
                  <c:v>132.71947843137252</c:v>
                </c:pt>
                <c:pt idx="38">
                  <c:v>132.71947843137252</c:v>
                </c:pt>
                <c:pt idx="39">
                  <c:v>132.71947843137252</c:v>
                </c:pt>
                <c:pt idx="40">
                  <c:v>132.71947843137252</c:v>
                </c:pt>
                <c:pt idx="41">
                  <c:v>132.71947843137252</c:v>
                </c:pt>
                <c:pt idx="42">
                  <c:v>132.71947843137252</c:v>
                </c:pt>
                <c:pt idx="43">
                  <c:v>132.71947843137252</c:v>
                </c:pt>
                <c:pt idx="44">
                  <c:v>132.71947843137252</c:v>
                </c:pt>
                <c:pt idx="45">
                  <c:v>132.71947843137252</c:v>
                </c:pt>
                <c:pt idx="46">
                  <c:v>132.71947843137252</c:v>
                </c:pt>
                <c:pt idx="47">
                  <c:v>132.71947843137252</c:v>
                </c:pt>
                <c:pt idx="48">
                  <c:v>132.71947843137252</c:v>
                </c:pt>
                <c:pt idx="49">
                  <c:v>132.71947843137252</c:v>
                </c:pt>
                <c:pt idx="50">
                  <c:v>132.71947843137252</c:v>
                </c:pt>
                <c:pt idx="51">
                  <c:v>132.71947843137252</c:v>
                </c:pt>
                <c:pt idx="52">
                  <c:v>132.71947843137252</c:v>
                </c:pt>
                <c:pt idx="53">
                  <c:v>132.71947843137252</c:v>
                </c:pt>
                <c:pt idx="54">
                  <c:v>132.71947843137252</c:v>
                </c:pt>
                <c:pt idx="55">
                  <c:v>132.71947843137252</c:v>
                </c:pt>
                <c:pt idx="56">
                  <c:v>132.71947843137252</c:v>
                </c:pt>
                <c:pt idx="57">
                  <c:v>132.71947843137252</c:v>
                </c:pt>
                <c:pt idx="58">
                  <c:v>132.71947843137252</c:v>
                </c:pt>
                <c:pt idx="59">
                  <c:v>132.71947843137252</c:v>
                </c:pt>
                <c:pt idx="60">
                  <c:v>132.71947843137252</c:v>
                </c:pt>
                <c:pt idx="61">
                  <c:v>132.71947843137252</c:v>
                </c:pt>
                <c:pt idx="62">
                  <c:v>132.71947843137252</c:v>
                </c:pt>
                <c:pt idx="63">
                  <c:v>132.71947843137252</c:v>
                </c:pt>
                <c:pt idx="64">
                  <c:v>132.71947843137252</c:v>
                </c:pt>
                <c:pt idx="65">
                  <c:v>132.71947843137252</c:v>
                </c:pt>
                <c:pt idx="66">
                  <c:v>132.71947843137252</c:v>
                </c:pt>
                <c:pt idx="67">
                  <c:v>132.71947843137252</c:v>
                </c:pt>
                <c:pt idx="68">
                  <c:v>132.71947843137252</c:v>
                </c:pt>
                <c:pt idx="69">
                  <c:v>132.71947843137252</c:v>
                </c:pt>
                <c:pt idx="70">
                  <c:v>132.71947843137252</c:v>
                </c:pt>
                <c:pt idx="71">
                  <c:v>132.71947843137252</c:v>
                </c:pt>
                <c:pt idx="72">
                  <c:v>132.71947843137252</c:v>
                </c:pt>
                <c:pt idx="73">
                  <c:v>132.71947843137252</c:v>
                </c:pt>
                <c:pt idx="74">
                  <c:v>132.71947843137252</c:v>
                </c:pt>
                <c:pt idx="75">
                  <c:v>132.71947843137252</c:v>
                </c:pt>
                <c:pt idx="76">
                  <c:v>132.71947843137252</c:v>
                </c:pt>
                <c:pt idx="77">
                  <c:v>132.71947843137252</c:v>
                </c:pt>
                <c:pt idx="78">
                  <c:v>132.71947843137252</c:v>
                </c:pt>
                <c:pt idx="79">
                  <c:v>132.71947843137252</c:v>
                </c:pt>
                <c:pt idx="80">
                  <c:v>132.71947843137252</c:v>
                </c:pt>
                <c:pt idx="81">
                  <c:v>132.71947843137252</c:v>
                </c:pt>
                <c:pt idx="82">
                  <c:v>132.71947843137252</c:v>
                </c:pt>
                <c:pt idx="83">
                  <c:v>132.71947843137252</c:v>
                </c:pt>
                <c:pt idx="84">
                  <c:v>132.71947843137252</c:v>
                </c:pt>
                <c:pt idx="85">
                  <c:v>132.71947843137252</c:v>
                </c:pt>
                <c:pt idx="86">
                  <c:v>132.71947843137252</c:v>
                </c:pt>
                <c:pt idx="87">
                  <c:v>132.71947843137252</c:v>
                </c:pt>
                <c:pt idx="88">
                  <c:v>132.71947843137252</c:v>
                </c:pt>
                <c:pt idx="89">
                  <c:v>132.71947843137252</c:v>
                </c:pt>
                <c:pt idx="90">
                  <c:v>132.71947843137252</c:v>
                </c:pt>
                <c:pt idx="91">
                  <c:v>132.71947843137252</c:v>
                </c:pt>
                <c:pt idx="92">
                  <c:v>132.71947843137252</c:v>
                </c:pt>
                <c:pt idx="93">
                  <c:v>132.71947843137252</c:v>
                </c:pt>
                <c:pt idx="94">
                  <c:v>132.71947843137252</c:v>
                </c:pt>
                <c:pt idx="95">
                  <c:v>132.71947843137252</c:v>
                </c:pt>
                <c:pt idx="96">
                  <c:v>132.71947843137252</c:v>
                </c:pt>
                <c:pt idx="97">
                  <c:v>132.71947843137252</c:v>
                </c:pt>
                <c:pt idx="98">
                  <c:v>132.71947843137252</c:v>
                </c:pt>
                <c:pt idx="99">
                  <c:v>132.71947843137252</c:v>
                </c:pt>
              </c:numCache>
            </c:numRef>
          </c:val>
          <c:smooth val="0"/>
          <c:extLst xmlns:c16r2="http://schemas.microsoft.com/office/drawing/2015/06/chart">
            <c:ext xmlns:c16="http://schemas.microsoft.com/office/drawing/2014/chart" uri="{C3380CC4-5D6E-409C-BE32-E72D297353CC}">
              <c16:uniqueId val="{00000002-01DE-415A-B933-81F7D32A67AD}"/>
            </c:ext>
          </c:extLst>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53.087791372549013</c:v>
                </c:pt>
                <c:pt idx="1">
                  <c:v>53.087791372549013</c:v>
                </c:pt>
                <c:pt idx="2">
                  <c:v>53.087791372549013</c:v>
                </c:pt>
                <c:pt idx="3">
                  <c:v>53.087791372549013</c:v>
                </c:pt>
                <c:pt idx="4">
                  <c:v>53.087791372549013</c:v>
                </c:pt>
                <c:pt idx="5">
                  <c:v>53.087791372549013</c:v>
                </c:pt>
                <c:pt idx="6">
                  <c:v>53.087791372549013</c:v>
                </c:pt>
                <c:pt idx="7">
                  <c:v>53.087791372549013</c:v>
                </c:pt>
                <c:pt idx="8">
                  <c:v>53.087791372549013</c:v>
                </c:pt>
                <c:pt idx="9">
                  <c:v>53.087791372549013</c:v>
                </c:pt>
                <c:pt idx="10">
                  <c:v>53.087791372549013</c:v>
                </c:pt>
                <c:pt idx="11">
                  <c:v>53.087791372549013</c:v>
                </c:pt>
                <c:pt idx="12">
                  <c:v>53.087791372549013</c:v>
                </c:pt>
                <c:pt idx="13">
                  <c:v>53.087791372549013</c:v>
                </c:pt>
                <c:pt idx="14">
                  <c:v>53.087791372549013</c:v>
                </c:pt>
                <c:pt idx="15">
                  <c:v>53.087791372549013</c:v>
                </c:pt>
                <c:pt idx="16">
                  <c:v>53.087791372549013</c:v>
                </c:pt>
                <c:pt idx="17">
                  <c:v>53.087791372549013</c:v>
                </c:pt>
                <c:pt idx="18">
                  <c:v>53.087791372549013</c:v>
                </c:pt>
                <c:pt idx="19">
                  <c:v>53.087791372549013</c:v>
                </c:pt>
                <c:pt idx="20">
                  <c:v>53.087791372549013</c:v>
                </c:pt>
                <c:pt idx="21">
                  <c:v>53.087791372549013</c:v>
                </c:pt>
                <c:pt idx="22">
                  <c:v>53.087791372549013</c:v>
                </c:pt>
                <c:pt idx="23">
                  <c:v>53.087791372549013</c:v>
                </c:pt>
                <c:pt idx="24">
                  <c:v>53.087791372549013</c:v>
                </c:pt>
                <c:pt idx="25">
                  <c:v>53.087791372549013</c:v>
                </c:pt>
                <c:pt idx="26">
                  <c:v>53.087791372549013</c:v>
                </c:pt>
                <c:pt idx="27">
                  <c:v>53.087791372549013</c:v>
                </c:pt>
                <c:pt idx="28">
                  <c:v>53.087791372549013</c:v>
                </c:pt>
                <c:pt idx="29">
                  <c:v>53.087791372549013</c:v>
                </c:pt>
                <c:pt idx="30">
                  <c:v>53.087791372549013</c:v>
                </c:pt>
                <c:pt idx="31">
                  <c:v>53.087791372549013</c:v>
                </c:pt>
                <c:pt idx="32">
                  <c:v>53.087791372549013</c:v>
                </c:pt>
                <c:pt idx="33">
                  <c:v>53.087791372549013</c:v>
                </c:pt>
                <c:pt idx="34">
                  <c:v>53.087791372549013</c:v>
                </c:pt>
                <c:pt idx="35">
                  <c:v>53.087791372549013</c:v>
                </c:pt>
                <c:pt idx="36">
                  <c:v>53.087791372549013</c:v>
                </c:pt>
                <c:pt idx="37">
                  <c:v>53.087791372549013</c:v>
                </c:pt>
                <c:pt idx="38">
                  <c:v>53.087791372549013</c:v>
                </c:pt>
                <c:pt idx="39">
                  <c:v>53.087791372549013</c:v>
                </c:pt>
                <c:pt idx="40">
                  <c:v>53.087791372549013</c:v>
                </c:pt>
                <c:pt idx="41">
                  <c:v>53.087791372549013</c:v>
                </c:pt>
                <c:pt idx="42">
                  <c:v>53.087791372549013</c:v>
                </c:pt>
                <c:pt idx="43">
                  <c:v>53.087791372549013</c:v>
                </c:pt>
                <c:pt idx="44">
                  <c:v>53.087791372549013</c:v>
                </c:pt>
                <c:pt idx="45">
                  <c:v>53.087791372549013</c:v>
                </c:pt>
                <c:pt idx="46">
                  <c:v>53.087791372549013</c:v>
                </c:pt>
                <c:pt idx="47">
                  <c:v>53.087791372549013</c:v>
                </c:pt>
                <c:pt idx="48">
                  <c:v>53.087791372549013</c:v>
                </c:pt>
                <c:pt idx="49">
                  <c:v>53.087791372549013</c:v>
                </c:pt>
                <c:pt idx="50">
                  <c:v>53.087791372549013</c:v>
                </c:pt>
                <c:pt idx="51">
                  <c:v>53.087791372549013</c:v>
                </c:pt>
                <c:pt idx="52">
                  <c:v>53.087791372549013</c:v>
                </c:pt>
                <c:pt idx="53">
                  <c:v>53.087791372549013</c:v>
                </c:pt>
                <c:pt idx="54">
                  <c:v>53.087791372549013</c:v>
                </c:pt>
                <c:pt idx="55">
                  <c:v>53.087791372549013</c:v>
                </c:pt>
                <c:pt idx="56">
                  <c:v>53.087791372549013</c:v>
                </c:pt>
                <c:pt idx="57">
                  <c:v>53.087791372549013</c:v>
                </c:pt>
                <c:pt idx="58">
                  <c:v>53.087791372549013</c:v>
                </c:pt>
                <c:pt idx="59">
                  <c:v>53.087791372549013</c:v>
                </c:pt>
                <c:pt idx="60">
                  <c:v>53.087791372549013</c:v>
                </c:pt>
                <c:pt idx="61">
                  <c:v>53.087791372549013</c:v>
                </c:pt>
                <c:pt idx="62">
                  <c:v>53.087791372549013</c:v>
                </c:pt>
                <c:pt idx="63">
                  <c:v>53.087791372549013</c:v>
                </c:pt>
                <c:pt idx="64">
                  <c:v>53.087791372549013</c:v>
                </c:pt>
                <c:pt idx="65">
                  <c:v>53.087791372549013</c:v>
                </c:pt>
                <c:pt idx="66">
                  <c:v>53.087791372549013</c:v>
                </c:pt>
                <c:pt idx="67">
                  <c:v>53.087791372549013</c:v>
                </c:pt>
                <c:pt idx="68">
                  <c:v>53.087791372549013</c:v>
                </c:pt>
                <c:pt idx="69">
                  <c:v>53.087791372549013</c:v>
                </c:pt>
                <c:pt idx="70">
                  <c:v>53.087791372549013</c:v>
                </c:pt>
                <c:pt idx="71">
                  <c:v>53.087791372549013</c:v>
                </c:pt>
                <c:pt idx="72">
                  <c:v>53.087791372549013</c:v>
                </c:pt>
                <c:pt idx="73">
                  <c:v>53.087791372549013</c:v>
                </c:pt>
                <c:pt idx="74">
                  <c:v>53.087791372549013</c:v>
                </c:pt>
                <c:pt idx="75">
                  <c:v>53.087791372549013</c:v>
                </c:pt>
                <c:pt idx="76">
                  <c:v>53.087791372549013</c:v>
                </c:pt>
                <c:pt idx="77">
                  <c:v>53.087791372549013</c:v>
                </c:pt>
                <c:pt idx="78">
                  <c:v>53.087791372549013</c:v>
                </c:pt>
                <c:pt idx="79">
                  <c:v>53.087791372549013</c:v>
                </c:pt>
                <c:pt idx="80">
                  <c:v>53.087791372549013</c:v>
                </c:pt>
                <c:pt idx="81">
                  <c:v>53.087791372549013</c:v>
                </c:pt>
                <c:pt idx="82">
                  <c:v>53.087791372549013</c:v>
                </c:pt>
                <c:pt idx="83">
                  <c:v>53.087791372549013</c:v>
                </c:pt>
                <c:pt idx="84">
                  <c:v>53.087791372549013</c:v>
                </c:pt>
                <c:pt idx="85">
                  <c:v>53.087791372549013</c:v>
                </c:pt>
                <c:pt idx="86">
                  <c:v>53.087791372549013</c:v>
                </c:pt>
                <c:pt idx="87">
                  <c:v>53.087791372549013</c:v>
                </c:pt>
                <c:pt idx="88">
                  <c:v>53.087791372549013</c:v>
                </c:pt>
                <c:pt idx="89">
                  <c:v>53.087791372549013</c:v>
                </c:pt>
                <c:pt idx="90">
                  <c:v>53.087791372549013</c:v>
                </c:pt>
                <c:pt idx="91">
                  <c:v>53.087791372549013</c:v>
                </c:pt>
                <c:pt idx="92">
                  <c:v>53.087791372549013</c:v>
                </c:pt>
                <c:pt idx="93">
                  <c:v>53.087791372549013</c:v>
                </c:pt>
                <c:pt idx="94">
                  <c:v>53.087791372549013</c:v>
                </c:pt>
                <c:pt idx="95">
                  <c:v>53.087791372549013</c:v>
                </c:pt>
                <c:pt idx="96">
                  <c:v>53.087791372549013</c:v>
                </c:pt>
                <c:pt idx="97">
                  <c:v>53.087791372549013</c:v>
                </c:pt>
                <c:pt idx="98">
                  <c:v>53.087791372549013</c:v>
                </c:pt>
                <c:pt idx="99">
                  <c:v>53.087791372549013</c:v>
                </c:pt>
              </c:numCache>
            </c:numRef>
          </c:val>
          <c:smooth val="0"/>
          <c:extLst xmlns:c16r2="http://schemas.microsoft.com/office/drawing/2015/06/chart">
            <c:ext xmlns:c16="http://schemas.microsoft.com/office/drawing/2014/chart" uri="{C3380CC4-5D6E-409C-BE32-E72D297353CC}">
              <c16:uniqueId val="{00000003-01DE-415A-B933-81F7D32A67AD}"/>
            </c:ext>
          </c:extLst>
        </c:ser>
        <c:dLbls>
          <c:showLegendKey val="0"/>
          <c:showVal val="0"/>
          <c:showCatName val="0"/>
          <c:showSerName val="0"/>
          <c:showPercent val="0"/>
          <c:showBubbleSize val="0"/>
        </c:dLbls>
        <c:marker val="1"/>
        <c:smooth val="0"/>
        <c:axId val="394009248"/>
        <c:axId val="476273216"/>
      </c:lineChart>
      <c:catAx>
        <c:axId val="394009248"/>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76273216"/>
        <c:crosses val="autoZero"/>
        <c:auto val="1"/>
        <c:lblAlgn val="ctr"/>
        <c:lblOffset val="500"/>
        <c:tickLblSkip val="5"/>
        <c:noMultiLvlLbl val="0"/>
      </c:catAx>
      <c:valAx>
        <c:axId val="47627321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4009248"/>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95.554159999999996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025-4769-ABBD-A702A21739E4}"/>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115.58359999999999</c:v>
                </c:pt>
                <c:pt idx="2">
                  <c:v>131.38559999999998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1025-4769-ABBD-A702A21739E4}"/>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141.57079999999996</c:v>
                </c:pt>
                <c:pt idx="4">
                  <c:v>153.26535999999999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1025-4769-ABBD-A702A21739E4}"/>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163.27023999999997</c:v>
                </c:pt>
                <c:pt idx="6">
                  <c:v>173.28543999999999</c:v>
                </c:pt>
                <c:pt idx="7">
                  <c:v>181.71127999999999</c:v>
                </c:pt>
                <c:pt idx="8">
                  <c:v>189.65807999999998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1025-4769-ABBD-A702A21739E4}"/>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195.56551999999999</c:v>
                </c:pt>
                <c:pt idx="10">
                  <c:v>202.24295999999995</c:v>
                </c:pt>
                <c:pt idx="11">
                  <c:v>207.41039999999998</c:v>
                </c:pt>
                <c:pt idx="12">
                  <c:v>212.05815999999999</c:v>
                </c:pt>
                <c:pt idx="13">
                  <c:v>215.51655999999997</c:v>
                </c:pt>
                <c:pt idx="14">
                  <c:v>219.87495999999999</c:v>
                </c:pt>
                <c:pt idx="15">
                  <c:v>223.66368</c:v>
                </c:pt>
                <c:pt idx="16">
                  <c:v>228.00207999999998</c:v>
                </c:pt>
                <c:pt idx="17">
                  <c:v>230.91079999999997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1025-4769-ABBD-A702A21739E4}"/>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234.66919999999999</c:v>
                </c:pt>
                <c:pt idx="19">
                  <c:v>237.56791999999996</c:v>
                </c:pt>
                <c:pt idx="20">
                  <c:v>240.86663999999999</c:v>
                </c:pt>
                <c:pt idx="21">
                  <c:v>244.13504</c:v>
                </c:pt>
                <c:pt idx="22">
                  <c:v>247.17375999999996</c:v>
                </c:pt>
                <c:pt idx="23">
                  <c:v>250.24247999999997</c:v>
                </c:pt>
                <c:pt idx="24">
                  <c:v>253.33119999999997</c:v>
                </c:pt>
                <c:pt idx="25">
                  <c:v>256.12023999999997</c:v>
                </c:pt>
                <c:pt idx="26">
                  <c:v>258.46927999999997</c:v>
                </c:pt>
                <c:pt idx="27">
                  <c:v>261.608</c:v>
                </c:pt>
                <c:pt idx="28">
                  <c:v>264.12703999999997</c:v>
                </c:pt>
                <c:pt idx="29">
                  <c:v>266.63607999999999</c:v>
                </c:pt>
                <c:pt idx="30">
                  <c:v>269.38511999999997</c:v>
                </c:pt>
                <c:pt idx="31">
                  <c:v>271.60415999999998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1025-4769-ABBD-A702A21739E4}"/>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274.58287999999999</c:v>
                </c:pt>
                <c:pt idx="33">
                  <c:v>276.37223999999998</c:v>
                </c:pt>
                <c:pt idx="34">
                  <c:v>278.85127999999997</c:v>
                </c:pt>
                <c:pt idx="35">
                  <c:v>281.25031999999999</c:v>
                </c:pt>
                <c:pt idx="36">
                  <c:v>283.15967999999998</c:v>
                </c:pt>
                <c:pt idx="37">
                  <c:v>285.16904</c:v>
                </c:pt>
                <c:pt idx="38">
                  <c:v>287.37839999999994</c:v>
                </c:pt>
                <c:pt idx="39">
                  <c:v>290.54711999999995</c:v>
                </c:pt>
                <c:pt idx="40">
                  <c:v>293.16615999999999</c:v>
                </c:pt>
                <c:pt idx="41">
                  <c:v>295.51519999999999</c:v>
                </c:pt>
                <c:pt idx="42">
                  <c:v>297.21455999999995</c:v>
                </c:pt>
                <c:pt idx="43">
                  <c:v>299.40359999999998</c:v>
                </c:pt>
                <c:pt idx="44">
                  <c:v>302.07263999999998</c:v>
                </c:pt>
                <c:pt idx="45">
                  <c:v>303.86199999999997</c:v>
                </c:pt>
                <c:pt idx="46">
                  <c:v>305.46135999999996</c:v>
                </c:pt>
                <c:pt idx="47">
                  <c:v>308.20039999999995</c:v>
                </c:pt>
                <c:pt idx="48">
                  <c:v>310.71943999999996</c:v>
                </c:pt>
                <c:pt idx="49">
                  <c:v>312.53879999999998</c:v>
                </c:pt>
                <c:pt idx="50">
                  <c:v>314.95784000000003</c:v>
                </c:pt>
                <c:pt idx="51">
                  <c:v>317.26687999999996</c:v>
                </c:pt>
                <c:pt idx="52">
                  <c:v>318.88623999999993</c:v>
                </c:pt>
                <c:pt idx="53">
                  <c:v>321.92527999999999</c:v>
                </c:pt>
                <c:pt idx="54">
                  <c:v>324.20431999999994</c:v>
                </c:pt>
                <c:pt idx="55">
                  <c:v>325.71367999999995</c:v>
                </c:pt>
                <c:pt idx="56">
                  <c:v>327.98303999999996</c:v>
                </c:pt>
                <c:pt idx="57">
                  <c:v>329.97239999999999</c:v>
                </c:pt>
                <c:pt idx="58">
                  <c:v>332.36176</c:v>
                </c:pt>
                <c:pt idx="59">
                  <c:v>334.02143999999998</c:v>
                </c:pt>
                <c:pt idx="60">
                  <c:v>336.35047999999995</c:v>
                </c:pt>
                <c:pt idx="61">
                  <c:v>338.93983999999995</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1025-4769-ABBD-A702A21739E4}"/>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340.66919999999993</c:v>
                </c:pt>
                <c:pt idx="63">
                  <c:v>343.11823999999996</c:v>
                </c:pt>
                <c:pt idx="64">
                  <c:v>345.33759999999995</c:v>
                </c:pt>
                <c:pt idx="65">
                  <c:v>346.93695999999994</c:v>
                </c:pt>
                <c:pt idx="66">
                  <c:v>348.57632000000001</c:v>
                </c:pt>
                <c:pt idx="67">
                  <c:v>351.35503999999997</c:v>
                </c:pt>
                <c:pt idx="68">
                  <c:v>353.44439999999997</c:v>
                </c:pt>
                <c:pt idx="69">
                  <c:v>355.11375999999996</c:v>
                </c:pt>
                <c:pt idx="70">
                  <c:v>357.92279999999994</c:v>
                </c:pt>
                <c:pt idx="71">
                  <c:v>360.44183999999996</c:v>
                </c:pt>
                <c:pt idx="72">
                  <c:v>363.26087999999999</c:v>
                </c:pt>
                <c:pt idx="73">
                  <c:v>365.38023999999996</c:v>
                </c:pt>
                <c:pt idx="74">
                  <c:v>368.86895999999996</c:v>
                </c:pt>
                <c:pt idx="75">
                  <c:v>371.44799999999998</c:v>
                </c:pt>
                <c:pt idx="76">
                  <c:v>374.36671999999999</c:v>
                </c:pt>
                <c:pt idx="77">
                  <c:v>376.55575999999996</c:v>
                </c:pt>
                <c:pt idx="78">
                  <c:v>379.66447999999991</c:v>
                </c:pt>
                <c:pt idx="79">
                  <c:v>382.30351999999999</c:v>
                </c:pt>
                <c:pt idx="80">
                  <c:v>385.51256000000001</c:v>
                </c:pt>
                <c:pt idx="81">
                  <c:v>389.27096</c:v>
                </c:pt>
                <c:pt idx="82">
                  <c:v>392.28967999999992</c:v>
                </c:pt>
                <c:pt idx="83">
                  <c:v>397.00807999999995</c:v>
                </c:pt>
                <c:pt idx="84">
                  <c:v>400.32679999999993</c:v>
                </c:pt>
                <c:pt idx="85">
                  <c:v>404.26519999999994</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1025-4769-ABBD-A702A21739E4}"/>
            </c:ext>
          </c:extLst>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408.6235999999999</c:v>
                </c:pt>
                <c:pt idx="87">
                  <c:v>413.18167999999997</c:v>
                </c:pt>
                <c:pt idx="88">
                  <c:v>417.90007999999995</c:v>
                </c:pt>
                <c:pt idx="89">
                  <c:v>424.05783999999994</c:v>
                </c:pt>
                <c:pt idx="90">
                  <c:v>429.66559999999993</c:v>
                </c:pt>
                <c:pt idx="91">
                  <c:v>435.32303999999999</c:v>
                </c:pt>
                <c:pt idx="92">
                  <c:v>441.18079999999998</c:v>
                </c:pt>
                <c:pt idx="93">
                  <c:v>449.69759999999997</c:v>
                </c:pt>
                <c:pt idx="94">
                  <c:v>459.47407999999996</c:v>
                </c:pt>
                <c:pt idx="95">
                  <c:v>469.92088000000001</c:v>
                </c:pt>
                <c:pt idx="96">
                  <c:v>483.55767999999995</c:v>
                </c:pt>
                <c:pt idx="97">
                  <c:v>492.54543999999993</c:v>
                </c:pt>
                <c:pt idx="98">
                  <c:v>511.04095999999993</c:v>
                </c:pt>
                <c:pt idx="99">
                  <c:v>543.28391999999997</c:v>
                </c:pt>
              </c:numCache>
            </c:numRef>
          </c:val>
          <c:extLst xmlns:c16r2="http://schemas.microsoft.com/office/drawing/2015/06/chart">
            <c:ext xmlns:c16="http://schemas.microsoft.com/office/drawing/2014/chart" uri="{C3380CC4-5D6E-409C-BE32-E72D297353CC}">
              <c16:uniqueId val="{00000008-1025-4769-ABBD-A702A21739E4}"/>
            </c:ext>
          </c:extLst>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349.60844029388335</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1025-4769-ABBD-A702A21739E4}"/>
            </c:ext>
          </c:extLst>
        </c:ser>
        <c:dLbls>
          <c:showLegendKey val="0"/>
          <c:showVal val="0"/>
          <c:showCatName val="0"/>
          <c:showSerName val="0"/>
          <c:showPercent val="0"/>
          <c:showBubbleSize val="0"/>
        </c:dLbls>
        <c:gapWidth val="0"/>
        <c:overlap val="100"/>
        <c:axId val="529225456"/>
        <c:axId val="529226016"/>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272.1163843137254</c:v>
                </c:pt>
                <c:pt idx="1">
                  <c:v>272.1163843137254</c:v>
                </c:pt>
                <c:pt idx="2">
                  <c:v>272.1163843137254</c:v>
                </c:pt>
                <c:pt idx="3">
                  <c:v>272.1163843137254</c:v>
                </c:pt>
                <c:pt idx="4">
                  <c:v>272.1163843137254</c:v>
                </c:pt>
                <c:pt idx="5">
                  <c:v>272.1163843137254</c:v>
                </c:pt>
                <c:pt idx="6">
                  <c:v>272.1163843137254</c:v>
                </c:pt>
                <c:pt idx="7">
                  <c:v>272.1163843137254</c:v>
                </c:pt>
                <c:pt idx="8">
                  <c:v>272.1163843137254</c:v>
                </c:pt>
                <c:pt idx="9">
                  <c:v>272.1163843137254</c:v>
                </c:pt>
                <c:pt idx="10">
                  <c:v>272.1163843137254</c:v>
                </c:pt>
                <c:pt idx="11">
                  <c:v>272.1163843137254</c:v>
                </c:pt>
                <c:pt idx="12">
                  <c:v>272.1163843137254</c:v>
                </c:pt>
                <c:pt idx="13">
                  <c:v>272.1163843137254</c:v>
                </c:pt>
                <c:pt idx="14">
                  <c:v>272.1163843137254</c:v>
                </c:pt>
                <c:pt idx="15">
                  <c:v>272.1163843137254</c:v>
                </c:pt>
                <c:pt idx="16">
                  <c:v>272.1163843137254</c:v>
                </c:pt>
                <c:pt idx="17">
                  <c:v>272.1163843137254</c:v>
                </c:pt>
                <c:pt idx="18">
                  <c:v>272.1163843137254</c:v>
                </c:pt>
                <c:pt idx="19">
                  <c:v>272.1163843137254</c:v>
                </c:pt>
                <c:pt idx="20">
                  <c:v>272.1163843137254</c:v>
                </c:pt>
                <c:pt idx="21">
                  <c:v>272.1163843137254</c:v>
                </c:pt>
                <c:pt idx="22">
                  <c:v>272.1163843137254</c:v>
                </c:pt>
                <c:pt idx="23">
                  <c:v>272.1163843137254</c:v>
                </c:pt>
                <c:pt idx="24">
                  <c:v>272.1163843137254</c:v>
                </c:pt>
                <c:pt idx="25">
                  <c:v>272.1163843137254</c:v>
                </c:pt>
                <c:pt idx="26">
                  <c:v>272.1163843137254</c:v>
                </c:pt>
                <c:pt idx="27">
                  <c:v>272.1163843137254</c:v>
                </c:pt>
                <c:pt idx="28">
                  <c:v>272.1163843137254</c:v>
                </c:pt>
                <c:pt idx="29">
                  <c:v>272.1163843137254</c:v>
                </c:pt>
                <c:pt idx="30">
                  <c:v>272.1163843137254</c:v>
                </c:pt>
                <c:pt idx="31">
                  <c:v>272.1163843137254</c:v>
                </c:pt>
                <c:pt idx="32">
                  <c:v>272.1163843137254</c:v>
                </c:pt>
                <c:pt idx="33">
                  <c:v>272.1163843137254</c:v>
                </c:pt>
                <c:pt idx="34">
                  <c:v>272.1163843137254</c:v>
                </c:pt>
                <c:pt idx="35">
                  <c:v>272.1163843137254</c:v>
                </c:pt>
                <c:pt idx="36">
                  <c:v>272.1163843137254</c:v>
                </c:pt>
                <c:pt idx="37">
                  <c:v>272.1163843137254</c:v>
                </c:pt>
                <c:pt idx="38">
                  <c:v>272.1163843137254</c:v>
                </c:pt>
                <c:pt idx="39">
                  <c:v>272.1163843137254</c:v>
                </c:pt>
                <c:pt idx="40">
                  <c:v>272.1163843137254</c:v>
                </c:pt>
                <c:pt idx="41">
                  <c:v>272.1163843137254</c:v>
                </c:pt>
                <c:pt idx="42">
                  <c:v>272.1163843137254</c:v>
                </c:pt>
                <c:pt idx="43">
                  <c:v>272.1163843137254</c:v>
                </c:pt>
                <c:pt idx="44">
                  <c:v>272.1163843137254</c:v>
                </c:pt>
                <c:pt idx="45">
                  <c:v>272.1163843137254</c:v>
                </c:pt>
                <c:pt idx="46">
                  <c:v>272.1163843137254</c:v>
                </c:pt>
                <c:pt idx="47">
                  <c:v>272.1163843137254</c:v>
                </c:pt>
                <c:pt idx="48">
                  <c:v>272.1163843137254</c:v>
                </c:pt>
                <c:pt idx="49">
                  <c:v>272.1163843137254</c:v>
                </c:pt>
                <c:pt idx="50">
                  <c:v>272.1163843137254</c:v>
                </c:pt>
                <c:pt idx="51">
                  <c:v>272.1163843137254</c:v>
                </c:pt>
                <c:pt idx="52">
                  <c:v>272.1163843137254</c:v>
                </c:pt>
                <c:pt idx="53">
                  <c:v>272.1163843137254</c:v>
                </c:pt>
                <c:pt idx="54">
                  <c:v>272.1163843137254</c:v>
                </c:pt>
                <c:pt idx="55">
                  <c:v>272.1163843137254</c:v>
                </c:pt>
                <c:pt idx="56">
                  <c:v>272.1163843137254</c:v>
                </c:pt>
                <c:pt idx="57">
                  <c:v>272.1163843137254</c:v>
                </c:pt>
                <c:pt idx="58">
                  <c:v>272.1163843137254</c:v>
                </c:pt>
                <c:pt idx="59">
                  <c:v>272.1163843137254</c:v>
                </c:pt>
                <c:pt idx="60">
                  <c:v>272.1163843137254</c:v>
                </c:pt>
                <c:pt idx="61">
                  <c:v>272.1163843137254</c:v>
                </c:pt>
                <c:pt idx="62">
                  <c:v>272.1163843137254</c:v>
                </c:pt>
                <c:pt idx="63">
                  <c:v>272.1163843137254</c:v>
                </c:pt>
                <c:pt idx="64">
                  <c:v>272.1163843137254</c:v>
                </c:pt>
                <c:pt idx="65">
                  <c:v>272.1163843137254</c:v>
                </c:pt>
                <c:pt idx="66">
                  <c:v>272.1163843137254</c:v>
                </c:pt>
                <c:pt idx="67">
                  <c:v>272.1163843137254</c:v>
                </c:pt>
                <c:pt idx="68">
                  <c:v>272.1163843137254</c:v>
                </c:pt>
                <c:pt idx="69">
                  <c:v>272.1163843137254</c:v>
                </c:pt>
                <c:pt idx="70">
                  <c:v>272.1163843137254</c:v>
                </c:pt>
                <c:pt idx="71">
                  <c:v>272.1163843137254</c:v>
                </c:pt>
                <c:pt idx="72">
                  <c:v>272.1163843137254</c:v>
                </c:pt>
                <c:pt idx="73">
                  <c:v>272.1163843137254</c:v>
                </c:pt>
                <c:pt idx="74">
                  <c:v>272.1163843137254</c:v>
                </c:pt>
                <c:pt idx="75">
                  <c:v>272.1163843137254</c:v>
                </c:pt>
                <c:pt idx="76">
                  <c:v>272.1163843137254</c:v>
                </c:pt>
                <c:pt idx="77">
                  <c:v>272.1163843137254</c:v>
                </c:pt>
                <c:pt idx="78">
                  <c:v>272.1163843137254</c:v>
                </c:pt>
                <c:pt idx="79">
                  <c:v>272.1163843137254</c:v>
                </c:pt>
                <c:pt idx="80">
                  <c:v>272.1163843137254</c:v>
                </c:pt>
                <c:pt idx="81">
                  <c:v>272.1163843137254</c:v>
                </c:pt>
                <c:pt idx="82">
                  <c:v>272.1163843137254</c:v>
                </c:pt>
                <c:pt idx="83">
                  <c:v>272.1163843137254</c:v>
                </c:pt>
                <c:pt idx="84">
                  <c:v>272.1163843137254</c:v>
                </c:pt>
                <c:pt idx="85">
                  <c:v>272.1163843137254</c:v>
                </c:pt>
                <c:pt idx="86">
                  <c:v>272.1163843137254</c:v>
                </c:pt>
                <c:pt idx="87">
                  <c:v>272.1163843137254</c:v>
                </c:pt>
                <c:pt idx="88">
                  <c:v>272.1163843137254</c:v>
                </c:pt>
                <c:pt idx="89">
                  <c:v>272.1163843137254</c:v>
                </c:pt>
                <c:pt idx="90">
                  <c:v>272.1163843137254</c:v>
                </c:pt>
                <c:pt idx="91">
                  <c:v>272.1163843137254</c:v>
                </c:pt>
                <c:pt idx="92">
                  <c:v>272.1163843137254</c:v>
                </c:pt>
                <c:pt idx="93">
                  <c:v>272.1163843137254</c:v>
                </c:pt>
                <c:pt idx="94">
                  <c:v>272.1163843137254</c:v>
                </c:pt>
                <c:pt idx="95">
                  <c:v>272.1163843137254</c:v>
                </c:pt>
                <c:pt idx="96">
                  <c:v>272.1163843137254</c:v>
                </c:pt>
                <c:pt idx="97">
                  <c:v>272.1163843137254</c:v>
                </c:pt>
                <c:pt idx="98">
                  <c:v>272.1163843137254</c:v>
                </c:pt>
                <c:pt idx="99">
                  <c:v>272.1163843137254</c:v>
                </c:pt>
              </c:numCache>
            </c:numRef>
          </c:val>
          <c:smooth val="0"/>
          <c:extLst xmlns:c16r2="http://schemas.microsoft.com/office/drawing/2015/06/chart">
            <c:ext xmlns:c16="http://schemas.microsoft.com/office/drawing/2014/chart" uri="{C3380CC4-5D6E-409C-BE32-E72D297353CC}">
              <c16:uniqueId val="{0000000A-1025-4769-ABBD-A702A21739E4}"/>
            </c:ext>
          </c:extLst>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108.84655372549018</c:v>
                </c:pt>
                <c:pt idx="1">
                  <c:v>108.84655372549018</c:v>
                </c:pt>
                <c:pt idx="2">
                  <c:v>108.84655372549018</c:v>
                </c:pt>
                <c:pt idx="3">
                  <c:v>108.84655372549018</c:v>
                </c:pt>
                <c:pt idx="4">
                  <c:v>108.84655372549018</c:v>
                </c:pt>
                <c:pt idx="5">
                  <c:v>108.84655372549018</c:v>
                </c:pt>
                <c:pt idx="6">
                  <c:v>108.84655372549018</c:v>
                </c:pt>
                <c:pt idx="7">
                  <c:v>108.84655372549018</c:v>
                </c:pt>
                <c:pt idx="8">
                  <c:v>108.84655372549018</c:v>
                </c:pt>
                <c:pt idx="9">
                  <c:v>108.84655372549018</c:v>
                </c:pt>
                <c:pt idx="10">
                  <c:v>108.84655372549018</c:v>
                </c:pt>
                <c:pt idx="11">
                  <c:v>108.84655372549018</c:v>
                </c:pt>
                <c:pt idx="12">
                  <c:v>108.84655372549018</c:v>
                </c:pt>
                <c:pt idx="13">
                  <c:v>108.84655372549018</c:v>
                </c:pt>
                <c:pt idx="14">
                  <c:v>108.84655372549018</c:v>
                </c:pt>
                <c:pt idx="15">
                  <c:v>108.84655372549018</c:v>
                </c:pt>
                <c:pt idx="16">
                  <c:v>108.84655372549018</c:v>
                </c:pt>
                <c:pt idx="17">
                  <c:v>108.84655372549018</c:v>
                </c:pt>
                <c:pt idx="18">
                  <c:v>108.84655372549018</c:v>
                </c:pt>
                <c:pt idx="19">
                  <c:v>108.84655372549018</c:v>
                </c:pt>
                <c:pt idx="20">
                  <c:v>108.84655372549018</c:v>
                </c:pt>
                <c:pt idx="21">
                  <c:v>108.84655372549018</c:v>
                </c:pt>
                <c:pt idx="22">
                  <c:v>108.84655372549018</c:v>
                </c:pt>
                <c:pt idx="23">
                  <c:v>108.84655372549018</c:v>
                </c:pt>
                <c:pt idx="24">
                  <c:v>108.84655372549018</c:v>
                </c:pt>
                <c:pt idx="25">
                  <c:v>108.84655372549018</c:v>
                </c:pt>
                <c:pt idx="26">
                  <c:v>108.84655372549018</c:v>
                </c:pt>
                <c:pt idx="27">
                  <c:v>108.84655372549018</c:v>
                </c:pt>
                <c:pt idx="28">
                  <c:v>108.84655372549018</c:v>
                </c:pt>
                <c:pt idx="29">
                  <c:v>108.84655372549018</c:v>
                </c:pt>
                <c:pt idx="30">
                  <c:v>108.84655372549018</c:v>
                </c:pt>
                <c:pt idx="31">
                  <c:v>108.84655372549018</c:v>
                </c:pt>
                <c:pt idx="32">
                  <c:v>108.84655372549018</c:v>
                </c:pt>
                <c:pt idx="33">
                  <c:v>108.84655372549018</c:v>
                </c:pt>
                <c:pt idx="34">
                  <c:v>108.84655372549018</c:v>
                </c:pt>
                <c:pt idx="35">
                  <c:v>108.84655372549018</c:v>
                </c:pt>
                <c:pt idx="36">
                  <c:v>108.84655372549018</c:v>
                </c:pt>
                <c:pt idx="37">
                  <c:v>108.84655372549018</c:v>
                </c:pt>
                <c:pt idx="38">
                  <c:v>108.84655372549018</c:v>
                </c:pt>
                <c:pt idx="39">
                  <c:v>108.84655372549018</c:v>
                </c:pt>
                <c:pt idx="40">
                  <c:v>108.84655372549018</c:v>
                </c:pt>
                <c:pt idx="41">
                  <c:v>108.84655372549018</c:v>
                </c:pt>
                <c:pt idx="42">
                  <c:v>108.84655372549018</c:v>
                </c:pt>
                <c:pt idx="43">
                  <c:v>108.84655372549018</c:v>
                </c:pt>
                <c:pt idx="44">
                  <c:v>108.84655372549018</c:v>
                </c:pt>
                <c:pt idx="45">
                  <c:v>108.84655372549018</c:v>
                </c:pt>
                <c:pt idx="46">
                  <c:v>108.84655372549018</c:v>
                </c:pt>
                <c:pt idx="47">
                  <c:v>108.84655372549018</c:v>
                </c:pt>
                <c:pt idx="48">
                  <c:v>108.84655372549018</c:v>
                </c:pt>
                <c:pt idx="49">
                  <c:v>108.84655372549018</c:v>
                </c:pt>
                <c:pt idx="50">
                  <c:v>108.84655372549018</c:v>
                </c:pt>
                <c:pt idx="51">
                  <c:v>108.84655372549018</c:v>
                </c:pt>
                <c:pt idx="52">
                  <c:v>108.84655372549018</c:v>
                </c:pt>
                <c:pt idx="53">
                  <c:v>108.84655372549018</c:v>
                </c:pt>
                <c:pt idx="54">
                  <c:v>108.84655372549018</c:v>
                </c:pt>
                <c:pt idx="55">
                  <c:v>108.84655372549018</c:v>
                </c:pt>
                <c:pt idx="56">
                  <c:v>108.84655372549018</c:v>
                </c:pt>
                <c:pt idx="57">
                  <c:v>108.84655372549018</c:v>
                </c:pt>
                <c:pt idx="58">
                  <c:v>108.84655372549018</c:v>
                </c:pt>
                <c:pt idx="59">
                  <c:v>108.84655372549018</c:v>
                </c:pt>
                <c:pt idx="60">
                  <c:v>108.84655372549018</c:v>
                </c:pt>
                <c:pt idx="61">
                  <c:v>108.84655372549018</c:v>
                </c:pt>
                <c:pt idx="62">
                  <c:v>108.84655372549018</c:v>
                </c:pt>
                <c:pt idx="63">
                  <c:v>108.84655372549018</c:v>
                </c:pt>
                <c:pt idx="64">
                  <c:v>108.84655372549018</c:v>
                </c:pt>
                <c:pt idx="65">
                  <c:v>108.84655372549018</c:v>
                </c:pt>
                <c:pt idx="66">
                  <c:v>108.84655372549018</c:v>
                </c:pt>
                <c:pt idx="67">
                  <c:v>108.84655372549018</c:v>
                </c:pt>
                <c:pt idx="68">
                  <c:v>108.84655372549018</c:v>
                </c:pt>
                <c:pt idx="69">
                  <c:v>108.84655372549018</c:v>
                </c:pt>
                <c:pt idx="70">
                  <c:v>108.84655372549018</c:v>
                </c:pt>
                <c:pt idx="71">
                  <c:v>108.84655372549018</c:v>
                </c:pt>
                <c:pt idx="72">
                  <c:v>108.84655372549018</c:v>
                </c:pt>
                <c:pt idx="73">
                  <c:v>108.84655372549018</c:v>
                </c:pt>
                <c:pt idx="74">
                  <c:v>108.84655372549018</c:v>
                </c:pt>
                <c:pt idx="75">
                  <c:v>108.84655372549018</c:v>
                </c:pt>
                <c:pt idx="76">
                  <c:v>108.84655372549018</c:v>
                </c:pt>
                <c:pt idx="77">
                  <c:v>108.84655372549018</c:v>
                </c:pt>
                <c:pt idx="78">
                  <c:v>108.84655372549018</c:v>
                </c:pt>
                <c:pt idx="79">
                  <c:v>108.84655372549018</c:v>
                </c:pt>
                <c:pt idx="80">
                  <c:v>108.84655372549018</c:v>
                </c:pt>
                <c:pt idx="81">
                  <c:v>108.84655372549018</c:v>
                </c:pt>
                <c:pt idx="82">
                  <c:v>108.84655372549018</c:v>
                </c:pt>
                <c:pt idx="83">
                  <c:v>108.84655372549018</c:v>
                </c:pt>
                <c:pt idx="84">
                  <c:v>108.84655372549018</c:v>
                </c:pt>
                <c:pt idx="85">
                  <c:v>108.84655372549018</c:v>
                </c:pt>
                <c:pt idx="86">
                  <c:v>108.84655372549018</c:v>
                </c:pt>
                <c:pt idx="87">
                  <c:v>108.84655372549018</c:v>
                </c:pt>
                <c:pt idx="88">
                  <c:v>108.84655372549018</c:v>
                </c:pt>
                <c:pt idx="89">
                  <c:v>108.84655372549018</c:v>
                </c:pt>
                <c:pt idx="90">
                  <c:v>108.84655372549018</c:v>
                </c:pt>
                <c:pt idx="91">
                  <c:v>108.84655372549018</c:v>
                </c:pt>
                <c:pt idx="92">
                  <c:v>108.84655372549018</c:v>
                </c:pt>
                <c:pt idx="93">
                  <c:v>108.84655372549018</c:v>
                </c:pt>
                <c:pt idx="94">
                  <c:v>108.84655372549018</c:v>
                </c:pt>
                <c:pt idx="95">
                  <c:v>108.84655372549018</c:v>
                </c:pt>
                <c:pt idx="96">
                  <c:v>108.84655372549018</c:v>
                </c:pt>
                <c:pt idx="97">
                  <c:v>108.84655372549018</c:v>
                </c:pt>
                <c:pt idx="98">
                  <c:v>108.84655372549018</c:v>
                </c:pt>
                <c:pt idx="99">
                  <c:v>108.84655372549018</c:v>
                </c:pt>
              </c:numCache>
            </c:numRef>
          </c:val>
          <c:smooth val="1"/>
          <c:extLst xmlns:c16r2="http://schemas.microsoft.com/office/drawing/2015/06/chart">
            <c:ext xmlns:c16="http://schemas.microsoft.com/office/drawing/2014/chart" uri="{C3380CC4-5D6E-409C-BE32-E72D297353CC}">
              <c16:uniqueId val="{0000000B-1025-4769-ABBD-A702A21739E4}"/>
            </c:ext>
          </c:extLst>
        </c:ser>
        <c:dLbls>
          <c:showLegendKey val="0"/>
          <c:showVal val="0"/>
          <c:showCatName val="0"/>
          <c:showSerName val="0"/>
          <c:showPercent val="0"/>
          <c:showBubbleSize val="0"/>
        </c:dLbls>
        <c:marker val="1"/>
        <c:smooth val="0"/>
        <c:axId val="529225456"/>
        <c:axId val="529226016"/>
      </c:lineChart>
      <c:catAx>
        <c:axId val="529225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529226016"/>
        <c:crosses val="autoZero"/>
        <c:auto val="1"/>
        <c:lblAlgn val="ctr"/>
        <c:lblOffset val="500"/>
        <c:tickLblSkip val="5"/>
        <c:tickMarkSkip val="10"/>
        <c:noMultiLvlLbl val="0"/>
      </c:catAx>
      <c:valAx>
        <c:axId val="52922601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29225456"/>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475580000"/>
        <c:axId val="475580560"/>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0-9708-40B8-910C-7F8F7EAFC423}"/>
            </c:ext>
          </c:extLst>
        </c:ser>
        <c:dLbls>
          <c:showLegendKey val="0"/>
          <c:showVal val="0"/>
          <c:showCatName val="0"/>
          <c:showSerName val="0"/>
          <c:showPercent val="0"/>
          <c:showBubbleSize val="0"/>
        </c:dLbls>
        <c:marker val="1"/>
        <c:smooth val="0"/>
        <c:axId val="475580000"/>
        <c:axId val="475580560"/>
      </c:lineChart>
      <c:dateAx>
        <c:axId val="475580000"/>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475580560"/>
        <c:crosses val="autoZero"/>
        <c:auto val="0"/>
        <c:lblOffset val="80"/>
        <c:baseTimeUnit val="months"/>
        <c:majorUnit val="6"/>
        <c:majorTimeUnit val="months"/>
        <c:minorUnit val="3"/>
        <c:minorTimeUnit val="months"/>
      </c:dateAx>
      <c:valAx>
        <c:axId val="475580560"/>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475580000"/>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0-65D5-4897-86A8-3872DD4916A5}"/>
            </c:ext>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1-65D5-4897-86A8-3872DD4916A5}"/>
            </c:ext>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44454</c:v>
                </c:pt>
                <c:pt idx="1">
                  <c:v>44484</c:v>
                </c:pt>
                <c:pt idx="2">
                  <c:v>44515</c:v>
                </c:pt>
                <c:pt idx="3">
                  <c:v>44545</c:v>
                </c:pt>
                <c:pt idx="4">
                  <c:v>44576</c:v>
                </c:pt>
                <c:pt idx="5">
                  <c:v>44607</c:v>
                </c:pt>
                <c:pt idx="6">
                  <c:v>44635</c:v>
                </c:pt>
                <c:pt idx="7">
                  <c:v>44666</c:v>
                </c:pt>
                <c:pt idx="8">
                  <c:v>44696</c:v>
                </c:pt>
                <c:pt idx="9">
                  <c:v>44727</c:v>
                </c:pt>
                <c:pt idx="10">
                  <c:v>44757</c:v>
                </c:pt>
                <c:pt idx="11">
                  <c:v>44788</c:v>
                </c:pt>
                <c:pt idx="12">
                  <c:v>44819</c:v>
                </c:pt>
                <c:pt idx="13">
                  <c:v>44849</c:v>
                </c:pt>
                <c:pt idx="14">
                  <c:v>44880</c:v>
                </c:pt>
                <c:pt idx="15">
                  <c:v>44910</c:v>
                </c:pt>
                <c:pt idx="16">
                  <c:v>44941</c:v>
                </c:pt>
                <c:pt idx="17">
                  <c:v>44972</c:v>
                </c:pt>
                <c:pt idx="18">
                  <c:v>45000</c:v>
                </c:pt>
                <c:pt idx="19">
                  <c:v>45031</c:v>
                </c:pt>
                <c:pt idx="20">
                  <c:v>45061</c:v>
                </c:pt>
                <c:pt idx="21">
                  <c:v>45092</c:v>
                </c:pt>
                <c:pt idx="22">
                  <c:v>45122</c:v>
                </c:pt>
                <c:pt idx="23">
                  <c:v>45153</c:v>
                </c:pt>
                <c:pt idx="24">
                  <c:v>45184</c:v>
                </c:pt>
                <c:pt idx="25">
                  <c:v>45214</c:v>
                </c:pt>
                <c:pt idx="26">
                  <c:v>45245</c:v>
                </c:pt>
                <c:pt idx="27">
                  <c:v>45275</c:v>
                </c:pt>
                <c:pt idx="28">
                  <c:v>45306</c:v>
                </c:pt>
                <c:pt idx="29">
                  <c:v>45337</c:v>
                </c:pt>
                <c:pt idx="30">
                  <c:v>45366</c:v>
                </c:pt>
                <c:pt idx="31">
                  <c:v>45397</c:v>
                </c:pt>
                <c:pt idx="32">
                  <c:v>45427</c:v>
                </c:pt>
                <c:pt idx="33">
                  <c:v>45458</c:v>
                </c:pt>
                <c:pt idx="34">
                  <c:v>45488</c:v>
                </c:pt>
                <c:pt idx="35">
                  <c:v>45519</c:v>
                </c:pt>
                <c:pt idx="36">
                  <c:v>45550</c:v>
                </c:pt>
                <c:pt idx="37">
                  <c:v>45580</c:v>
                </c:pt>
                <c:pt idx="38">
                  <c:v>45611</c:v>
                </c:pt>
                <c:pt idx="39">
                  <c:v>45641</c:v>
                </c:pt>
                <c:pt idx="40">
                  <c:v>45672</c:v>
                </c:pt>
                <c:pt idx="41">
                  <c:v>45703</c:v>
                </c:pt>
                <c:pt idx="42">
                  <c:v>45731</c:v>
                </c:pt>
                <c:pt idx="43">
                  <c:v>45762</c:v>
                </c:pt>
                <c:pt idx="44">
                  <c:v>45792</c:v>
                </c:pt>
                <c:pt idx="45">
                  <c:v>45823</c:v>
                </c:pt>
                <c:pt idx="46">
                  <c:v>45853</c:v>
                </c:pt>
                <c:pt idx="47">
                  <c:v>45884</c:v>
                </c:pt>
                <c:pt idx="48">
                  <c:v>45915</c:v>
                </c:pt>
                <c:pt idx="49">
                  <c:v>45945</c:v>
                </c:pt>
                <c:pt idx="50">
                  <c:v>45976</c:v>
                </c:pt>
                <c:pt idx="51">
                  <c:v>46006</c:v>
                </c:pt>
                <c:pt idx="52">
                  <c:v>46037</c:v>
                </c:pt>
                <c:pt idx="53">
                  <c:v>46068</c:v>
                </c:pt>
                <c:pt idx="54">
                  <c:v>46096</c:v>
                </c:pt>
                <c:pt idx="55">
                  <c:v>46127</c:v>
                </c:pt>
                <c:pt idx="56">
                  <c:v>46157</c:v>
                </c:pt>
                <c:pt idx="57">
                  <c:v>46188</c:v>
                </c:pt>
                <c:pt idx="58">
                  <c:v>46218</c:v>
                </c:pt>
                <c:pt idx="59">
                  <c:v>46249</c:v>
                </c:pt>
              </c:numCache>
            </c:numRef>
          </c:cat>
          <c:val>
            <c:numRef>
              <c:f>'Экономический расчет'!$Q$121:$Q$180</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2-65D5-4897-86A8-3872DD4916A5}"/>
            </c:ext>
          </c:extLst>
        </c:ser>
        <c:dLbls>
          <c:showLegendKey val="0"/>
          <c:showVal val="0"/>
          <c:showCatName val="0"/>
          <c:showSerName val="0"/>
          <c:showPercent val="0"/>
          <c:showBubbleSize val="0"/>
        </c:dLbls>
        <c:smooth val="0"/>
        <c:axId val="475584480"/>
        <c:axId val="475585040"/>
      </c:lineChart>
      <c:dateAx>
        <c:axId val="475584480"/>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475585040"/>
        <c:crosses val="autoZero"/>
        <c:auto val="0"/>
        <c:lblOffset val="100"/>
        <c:baseTimeUnit val="months"/>
        <c:majorUnit val="14"/>
        <c:majorTimeUnit val="months"/>
        <c:minorUnit val="7"/>
        <c:minorTimeUnit val="months"/>
      </c:dateAx>
      <c:valAx>
        <c:axId val="475585040"/>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475584480"/>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95.554159999999996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693-45BF-90A0-8285D410600B}"/>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115.58359999999999</c:v>
                </c:pt>
                <c:pt idx="2">
                  <c:v>131.38559999999998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2693-45BF-90A0-8285D410600B}"/>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141.57079999999996</c:v>
                </c:pt>
                <c:pt idx="4">
                  <c:v>153.26535999999999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2693-45BF-90A0-8285D410600B}"/>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163.27023999999997</c:v>
                </c:pt>
                <c:pt idx="6">
                  <c:v>173.28543999999999</c:v>
                </c:pt>
                <c:pt idx="7">
                  <c:v>181.71127999999999</c:v>
                </c:pt>
                <c:pt idx="8">
                  <c:v>189.65807999999998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2693-45BF-90A0-8285D410600B}"/>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195.56551999999999</c:v>
                </c:pt>
                <c:pt idx="10">
                  <c:v>202.24295999999995</c:v>
                </c:pt>
                <c:pt idx="11">
                  <c:v>207.41039999999998</c:v>
                </c:pt>
                <c:pt idx="12">
                  <c:v>212.05815999999999</c:v>
                </c:pt>
                <c:pt idx="13">
                  <c:v>215.51655999999997</c:v>
                </c:pt>
                <c:pt idx="14">
                  <c:v>219.87495999999999</c:v>
                </c:pt>
                <c:pt idx="15">
                  <c:v>223.66368</c:v>
                </c:pt>
                <c:pt idx="16">
                  <c:v>228.00207999999998</c:v>
                </c:pt>
                <c:pt idx="17">
                  <c:v>230.91079999999997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2693-45BF-90A0-8285D410600B}"/>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234.66919999999999</c:v>
                </c:pt>
                <c:pt idx="19">
                  <c:v>237.56791999999996</c:v>
                </c:pt>
                <c:pt idx="20">
                  <c:v>240.86663999999999</c:v>
                </c:pt>
                <c:pt idx="21">
                  <c:v>244.13504</c:v>
                </c:pt>
                <c:pt idx="22">
                  <c:v>247.17375999999996</c:v>
                </c:pt>
                <c:pt idx="23">
                  <c:v>250.24247999999997</c:v>
                </c:pt>
                <c:pt idx="24">
                  <c:v>253.33119999999997</c:v>
                </c:pt>
                <c:pt idx="25">
                  <c:v>256.12023999999997</c:v>
                </c:pt>
                <c:pt idx="26">
                  <c:v>258.46927999999997</c:v>
                </c:pt>
                <c:pt idx="27">
                  <c:v>261.608</c:v>
                </c:pt>
                <c:pt idx="28">
                  <c:v>264.12703999999997</c:v>
                </c:pt>
                <c:pt idx="29">
                  <c:v>266.63607999999999</c:v>
                </c:pt>
                <c:pt idx="30">
                  <c:v>269.38511999999997</c:v>
                </c:pt>
                <c:pt idx="31">
                  <c:v>271.60415999999998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2693-45BF-90A0-8285D410600B}"/>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274.58287999999999</c:v>
                </c:pt>
                <c:pt idx="33">
                  <c:v>276.37223999999998</c:v>
                </c:pt>
                <c:pt idx="34">
                  <c:v>278.85127999999997</c:v>
                </c:pt>
                <c:pt idx="35">
                  <c:v>281.25031999999999</c:v>
                </c:pt>
                <c:pt idx="36">
                  <c:v>283.15967999999998</c:v>
                </c:pt>
                <c:pt idx="37">
                  <c:v>285.16904</c:v>
                </c:pt>
                <c:pt idx="38">
                  <c:v>287.37839999999994</c:v>
                </c:pt>
                <c:pt idx="39">
                  <c:v>290.54711999999995</c:v>
                </c:pt>
                <c:pt idx="40">
                  <c:v>293.16615999999999</c:v>
                </c:pt>
                <c:pt idx="41">
                  <c:v>295.51519999999999</c:v>
                </c:pt>
                <c:pt idx="42">
                  <c:v>297.21455999999995</c:v>
                </c:pt>
                <c:pt idx="43">
                  <c:v>299.40359999999998</c:v>
                </c:pt>
                <c:pt idx="44">
                  <c:v>302.07263999999998</c:v>
                </c:pt>
                <c:pt idx="45">
                  <c:v>303.86199999999997</c:v>
                </c:pt>
                <c:pt idx="46">
                  <c:v>305.46135999999996</c:v>
                </c:pt>
                <c:pt idx="47">
                  <c:v>308.20039999999995</c:v>
                </c:pt>
                <c:pt idx="48">
                  <c:v>310.71943999999996</c:v>
                </c:pt>
                <c:pt idx="49">
                  <c:v>312.53879999999998</c:v>
                </c:pt>
                <c:pt idx="50">
                  <c:v>314.95784000000003</c:v>
                </c:pt>
                <c:pt idx="51">
                  <c:v>317.26687999999996</c:v>
                </c:pt>
                <c:pt idx="52">
                  <c:v>318.88623999999993</c:v>
                </c:pt>
                <c:pt idx="53">
                  <c:v>321.92527999999999</c:v>
                </c:pt>
                <c:pt idx="54">
                  <c:v>324.20431999999994</c:v>
                </c:pt>
                <c:pt idx="55">
                  <c:v>325.71367999999995</c:v>
                </c:pt>
                <c:pt idx="56">
                  <c:v>327.98303999999996</c:v>
                </c:pt>
                <c:pt idx="57">
                  <c:v>329.97239999999999</c:v>
                </c:pt>
                <c:pt idx="58">
                  <c:v>332.36176</c:v>
                </c:pt>
                <c:pt idx="59">
                  <c:v>334.02143999999998</c:v>
                </c:pt>
                <c:pt idx="60">
                  <c:v>336.35047999999995</c:v>
                </c:pt>
                <c:pt idx="61">
                  <c:v>338.93983999999995</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2693-45BF-90A0-8285D410600B}"/>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340.66919999999993</c:v>
                </c:pt>
                <c:pt idx="63">
                  <c:v>343.11823999999996</c:v>
                </c:pt>
                <c:pt idx="64">
                  <c:v>345.33759999999995</c:v>
                </c:pt>
                <c:pt idx="65">
                  <c:v>346.93695999999994</c:v>
                </c:pt>
                <c:pt idx="66">
                  <c:v>348.57632000000001</c:v>
                </c:pt>
                <c:pt idx="67">
                  <c:v>351.35503999999997</c:v>
                </c:pt>
                <c:pt idx="68">
                  <c:v>353.44439999999997</c:v>
                </c:pt>
                <c:pt idx="69">
                  <c:v>355.11375999999996</c:v>
                </c:pt>
                <c:pt idx="70">
                  <c:v>357.92279999999994</c:v>
                </c:pt>
                <c:pt idx="71">
                  <c:v>360.44183999999996</c:v>
                </c:pt>
                <c:pt idx="72">
                  <c:v>363.26087999999999</c:v>
                </c:pt>
                <c:pt idx="73">
                  <c:v>365.38023999999996</c:v>
                </c:pt>
                <c:pt idx="74">
                  <c:v>368.86895999999996</c:v>
                </c:pt>
                <c:pt idx="75">
                  <c:v>371.44799999999998</c:v>
                </c:pt>
                <c:pt idx="76">
                  <c:v>374.36671999999999</c:v>
                </c:pt>
                <c:pt idx="77">
                  <c:v>376.55575999999996</c:v>
                </c:pt>
                <c:pt idx="78">
                  <c:v>379.66447999999991</c:v>
                </c:pt>
                <c:pt idx="79">
                  <c:v>382.30351999999999</c:v>
                </c:pt>
                <c:pt idx="80">
                  <c:v>385.51256000000001</c:v>
                </c:pt>
                <c:pt idx="81">
                  <c:v>389.27096</c:v>
                </c:pt>
                <c:pt idx="82">
                  <c:v>392.28967999999992</c:v>
                </c:pt>
                <c:pt idx="83">
                  <c:v>397.00807999999995</c:v>
                </c:pt>
                <c:pt idx="84">
                  <c:v>400.32679999999993</c:v>
                </c:pt>
                <c:pt idx="85">
                  <c:v>404.26519999999994</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2693-45BF-90A0-8285D410600B}"/>
            </c:ext>
          </c:extLst>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408.6235999999999</c:v>
                </c:pt>
                <c:pt idx="87">
                  <c:v>413.18167999999997</c:v>
                </c:pt>
                <c:pt idx="88">
                  <c:v>417.90007999999995</c:v>
                </c:pt>
                <c:pt idx="89">
                  <c:v>424.05783999999994</c:v>
                </c:pt>
                <c:pt idx="90">
                  <c:v>429.66559999999993</c:v>
                </c:pt>
                <c:pt idx="91">
                  <c:v>435.32303999999999</c:v>
                </c:pt>
                <c:pt idx="92">
                  <c:v>441.18079999999998</c:v>
                </c:pt>
                <c:pt idx="93">
                  <c:v>449.69759999999997</c:v>
                </c:pt>
                <c:pt idx="94">
                  <c:v>459.47407999999996</c:v>
                </c:pt>
                <c:pt idx="95">
                  <c:v>469.92088000000001</c:v>
                </c:pt>
                <c:pt idx="96">
                  <c:v>483.55767999999995</c:v>
                </c:pt>
                <c:pt idx="97">
                  <c:v>492.54543999999993</c:v>
                </c:pt>
                <c:pt idx="98">
                  <c:v>511.04095999999993</c:v>
                </c:pt>
                <c:pt idx="99">
                  <c:v>543.28391999999997</c:v>
                </c:pt>
              </c:numCache>
            </c:numRef>
          </c:val>
          <c:extLst xmlns:c16r2="http://schemas.microsoft.com/office/drawing/2015/06/chart">
            <c:ext xmlns:c16="http://schemas.microsoft.com/office/drawing/2014/chart" uri="{C3380CC4-5D6E-409C-BE32-E72D297353CC}">
              <c16:uniqueId val="{00000008-2693-45BF-90A0-8285D410600B}"/>
            </c:ext>
          </c:extLst>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349.60844029388335</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2693-45BF-90A0-8285D410600B}"/>
            </c:ext>
          </c:extLst>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303.45692315768929</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A-2693-45BF-90A0-8285D410600B}"/>
            </c:ext>
          </c:extLst>
        </c:ser>
        <c:dLbls>
          <c:showLegendKey val="0"/>
          <c:showVal val="0"/>
          <c:showCatName val="0"/>
          <c:showSerName val="0"/>
          <c:showPercent val="0"/>
          <c:showBubbleSize val="0"/>
        </c:dLbls>
        <c:gapWidth val="0"/>
        <c:overlap val="100"/>
        <c:axId val="526543920"/>
        <c:axId val="526544480"/>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272.1163843137254</c:v>
                </c:pt>
                <c:pt idx="1">
                  <c:v>272.1163843137254</c:v>
                </c:pt>
                <c:pt idx="2">
                  <c:v>272.1163843137254</c:v>
                </c:pt>
                <c:pt idx="3">
                  <c:v>272.1163843137254</c:v>
                </c:pt>
                <c:pt idx="4">
                  <c:v>272.1163843137254</c:v>
                </c:pt>
                <c:pt idx="5">
                  <c:v>272.1163843137254</c:v>
                </c:pt>
                <c:pt idx="6">
                  <c:v>272.1163843137254</c:v>
                </c:pt>
                <c:pt idx="7">
                  <c:v>272.1163843137254</c:v>
                </c:pt>
                <c:pt idx="8">
                  <c:v>272.1163843137254</c:v>
                </c:pt>
                <c:pt idx="9">
                  <c:v>272.1163843137254</c:v>
                </c:pt>
                <c:pt idx="10">
                  <c:v>272.1163843137254</c:v>
                </c:pt>
                <c:pt idx="11">
                  <c:v>272.1163843137254</c:v>
                </c:pt>
                <c:pt idx="12">
                  <c:v>272.1163843137254</c:v>
                </c:pt>
                <c:pt idx="13">
                  <c:v>272.1163843137254</c:v>
                </c:pt>
                <c:pt idx="14">
                  <c:v>272.1163843137254</c:v>
                </c:pt>
                <c:pt idx="15">
                  <c:v>272.1163843137254</c:v>
                </c:pt>
                <c:pt idx="16">
                  <c:v>272.1163843137254</c:v>
                </c:pt>
                <c:pt idx="17">
                  <c:v>272.1163843137254</c:v>
                </c:pt>
                <c:pt idx="18">
                  <c:v>272.1163843137254</c:v>
                </c:pt>
                <c:pt idx="19">
                  <c:v>272.1163843137254</c:v>
                </c:pt>
                <c:pt idx="20">
                  <c:v>272.1163843137254</c:v>
                </c:pt>
                <c:pt idx="21">
                  <c:v>272.1163843137254</c:v>
                </c:pt>
                <c:pt idx="22">
                  <c:v>272.1163843137254</c:v>
                </c:pt>
                <c:pt idx="23">
                  <c:v>272.1163843137254</c:v>
                </c:pt>
                <c:pt idx="24">
                  <c:v>272.1163843137254</c:v>
                </c:pt>
                <c:pt idx="25">
                  <c:v>272.1163843137254</c:v>
                </c:pt>
                <c:pt idx="26">
                  <c:v>272.1163843137254</c:v>
                </c:pt>
                <c:pt idx="27">
                  <c:v>272.1163843137254</c:v>
                </c:pt>
                <c:pt idx="28">
                  <c:v>272.1163843137254</c:v>
                </c:pt>
                <c:pt idx="29">
                  <c:v>272.1163843137254</c:v>
                </c:pt>
                <c:pt idx="30">
                  <c:v>272.1163843137254</c:v>
                </c:pt>
                <c:pt idx="31">
                  <c:v>272.1163843137254</c:v>
                </c:pt>
                <c:pt idx="32">
                  <c:v>272.1163843137254</c:v>
                </c:pt>
                <c:pt idx="33">
                  <c:v>272.1163843137254</c:v>
                </c:pt>
                <c:pt idx="34">
                  <c:v>272.1163843137254</c:v>
                </c:pt>
                <c:pt idx="35">
                  <c:v>272.1163843137254</c:v>
                </c:pt>
                <c:pt idx="36">
                  <c:v>272.1163843137254</c:v>
                </c:pt>
                <c:pt idx="37">
                  <c:v>272.1163843137254</c:v>
                </c:pt>
                <c:pt idx="38">
                  <c:v>272.1163843137254</c:v>
                </c:pt>
                <c:pt idx="39">
                  <c:v>272.1163843137254</c:v>
                </c:pt>
                <c:pt idx="40">
                  <c:v>272.1163843137254</c:v>
                </c:pt>
                <c:pt idx="41">
                  <c:v>272.1163843137254</c:v>
                </c:pt>
                <c:pt idx="42">
                  <c:v>272.1163843137254</c:v>
                </c:pt>
                <c:pt idx="43">
                  <c:v>272.1163843137254</c:v>
                </c:pt>
                <c:pt idx="44">
                  <c:v>272.1163843137254</c:v>
                </c:pt>
                <c:pt idx="45">
                  <c:v>272.1163843137254</c:v>
                </c:pt>
                <c:pt idx="46">
                  <c:v>272.1163843137254</c:v>
                </c:pt>
                <c:pt idx="47">
                  <c:v>272.1163843137254</c:v>
                </c:pt>
                <c:pt idx="48">
                  <c:v>272.1163843137254</c:v>
                </c:pt>
                <c:pt idx="49">
                  <c:v>272.1163843137254</c:v>
                </c:pt>
                <c:pt idx="50">
                  <c:v>272.1163843137254</c:v>
                </c:pt>
                <c:pt idx="51">
                  <c:v>272.1163843137254</c:v>
                </c:pt>
                <c:pt idx="52">
                  <c:v>272.1163843137254</c:v>
                </c:pt>
                <c:pt idx="53">
                  <c:v>272.1163843137254</c:v>
                </c:pt>
                <c:pt idx="54">
                  <c:v>272.1163843137254</c:v>
                </c:pt>
                <c:pt idx="55">
                  <c:v>272.1163843137254</c:v>
                </c:pt>
                <c:pt idx="56">
                  <c:v>272.1163843137254</c:v>
                </c:pt>
                <c:pt idx="57">
                  <c:v>272.1163843137254</c:v>
                </c:pt>
                <c:pt idx="58">
                  <c:v>272.1163843137254</c:v>
                </c:pt>
                <c:pt idx="59">
                  <c:v>272.1163843137254</c:v>
                </c:pt>
                <c:pt idx="60">
                  <c:v>272.1163843137254</c:v>
                </c:pt>
                <c:pt idx="61">
                  <c:v>272.1163843137254</c:v>
                </c:pt>
                <c:pt idx="62">
                  <c:v>272.1163843137254</c:v>
                </c:pt>
                <c:pt idx="63">
                  <c:v>272.1163843137254</c:v>
                </c:pt>
                <c:pt idx="64">
                  <c:v>272.1163843137254</c:v>
                </c:pt>
                <c:pt idx="65">
                  <c:v>272.1163843137254</c:v>
                </c:pt>
                <c:pt idx="66">
                  <c:v>272.1163843137254</c:v>
                </c:pt>
                <c:pt idx="67">
                  <c:v>272.1163843137254</c:v>
                </c:pt>
                <c:pt idx="68">
                  <c:v>272.1163843137254</c:v>
                </c:pt>
                <c:pt idx="69">
                  <c:v>272.1163843137254</c:v>
                </c:pt>
                <c:pt idx="70">
                  <c:v>272.1163843137254</c:v>
                </c:pt>
                <c:pt idx="71">
                  <c:v>272.1163843137254</c:v>
                </c:pt>
                <c:pt idx="72">
                  <c:v>272.1163843137254</c:v>
                </c:pt>
                <c:pt idx="73">
                  <c:v>272.1163843137254</c:v>
                </c:pt>
                <c:pt idx="74">
                  <c:v>272.1163843137254</c:v>
                </c:pt>
                <c:pt idx="75">
                  <c:v>272.1163843137254</c:v>
                </c:pt>
                <c:pt idx="76">
                  <c:v>272.1163843137254</c:v>
                </c:pt>
                <c:pt idx="77">
                  <c:v>272.1163843137254</c:v>
                </c:pt>
                <c:pt idx="78">
                  <c:v>272.1163843137254</c:v>
                </c:pt>
                <c:pt idx="79">
                  <c:v>272.1163843137254</c:v>
                </c:pt>
                <c:pt idx="80">
                  <c:v>272.1163843137254</c:v>
                </c:pt>
                <c:pt idx="81">
                  <c:v>272.1163843137254</c:v>
                </c:pt>
                <c:pt idx="82">
                  <c:v>272.1163843137254</c:v>
                </c:pt>
                <c:pt idx="83">
                  <c:v>272.1163843137254</c:v>
                </c:pt>
                <c:pt idx="84">
                  <c:v>272.1163843137254</c:v>
                </c:pt>
                <c:pt idx="85">
                  <c:v>272.1163843137254</c:v>
                </c:pt>
                <c:pt idx="86">
                  <c:v>272.1163843137254</c:v>
                </c:pt>
                <c:pt idx="87">
                  <c:v>272.1163843137254</c:v>
                </c:pt>
                <c:pt idx="88">
                  <c:v>272.1163843137254</c:v>
                </c:pt>
                <c:pt idx="89">
                  <c:v>272.1163843137254</c:v>
                </c:pt>
                <c:pt idx="90">
                  <c:v>272.1163843137254</c:v>
                </c:pt>
                <c:pt idx="91">
                  <c:v>272.1163843137254</c:v>
                </c:pt>
                <c:pt idx="92">
                  <c:v>272.1163843137254</c:v>
                </c:pt>
                <c:pt idx="93">
                  <c:v>272.1163843137254</c:v>
                </c:pt>
                <c:pt idx="94">
                  <c:v>272.1163843137254</c:v>
                </c:pt>
                <c:pt idx="95">
                  <c:v>272.1163843137254</c:v>
                </c:pt>
                <c:pt idx="96">
                  <c:v>272.1163843137254</c:v>
                </c:pt>
                <c:pt idx="97">
                  <c:v>272.1163843137254</c:v>
                </c:pt>
                <c:pt idx="98">
                  <c:v>272.1163843137254</c:v>
                </c:pt>
                <c:pt idx="99">
                  <c:v>272.1163843137254</c:v>
                </c:pt>
              </c:numCache>
            </c:numRef>
          </c:val>
          <c:smooth val="0"/>
          <c:extLst xmlns:c16r2="http://schemas.microsoft.com/office/drawing/2015/06/chart">
            <c:ext xmlns:c16="http://schemas.microsoft.com/office/drawing/2014/chart" uri="{C3380CC4-5D6E-409C-BE32-E72D297353CC}">
              <c16:uniqueId val="{0000000B-2693-45BF-90A0-8285D410600B}"/>
            </c:ext>
          </c:extLst>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108.84655372549018</c:v>
                </c:pt>
                <c:pt idx="1">
                  <c:v>108.84655372549018</c:v>
                </c:pt>
                <c:pt idx="2">
                  <c:v>108.84655372549018</c:v>
                </c:pt>
                <c:pt idx="3">
                  <c:v>108.84655372549018</c:v>
                </c:pt>
                <c:pt idx="4">
                  <c:v>108.84655372549018</c:v>
                </c:pt>
                <c:pt idx="5">
                  <c:v>108.84655372549018</c:v>
                </c:pt>
                <c:pt idx="6">
                  <c:v>108.84655372549018</c:v>
                </c:pt>
                <c:pt idx="7">
                  <c:v>108.84655372549018</c:v>
                </c:pt>
                <c:pt idx="8">
                  <c:v>108.84655372549018</c:v>
                </c:pt>
                <c:pt idx="9">
                  <c:v>108.84655372549018</c:v>
                </c:pt>
                <c:pt idx="10">
                  <c:v>108.84655372549018</c:v>
                </c:pt>
                <c:pt idx="11">
                  <c:v>108.84655372549018</c:v>
                </c:pt>
                <c:pt idx="12">
                  <c:v>108.84655372549018</c:v>
                </c:pt>
                <c:pt idx="13">
                  <c:v>108.84655372549018</c:v>
                </c:pt>
                <c:pt idx="14">
                  <c:v>108.84655372549018</c:v>
                </c:pt>
                <c:pt idx="15">
                  <c:v>108.84655372549018</c:v>
                </c:pt>
                <c:pt idx="16">
                  <c:v>108.84655372549018</c:v>
                </c:pt>
                <c:pt idx="17">
                  <c:v>108.84655372549018</c:v>
                </c:pt>
                <c:pt idx="18">
                  <c:v>108.84655372549018</c:v>
                </c:pt>
                <c:pt idx="19">
                  <c:v>108.84655372549018</c:v>
                </c:pt>
                <c:pt idx="20">
                  <c:v>108.84655372549018</c:v>
                </c:pt>
                <c:pt idx="21">
                  <c:v>108.84655372549018</c:v>
                </c:pt>
                <c:pt idx="22">
                  <c:v>108.84655372549018</c:v>
                </c:pt>
                <c:pt idx="23">
                  <c:v>108.84655372549018</c:v>
                </c:pt>
                <c:pt idx="24">
                  <c:v>108.84655372549018</c:v>
                </c:pt>
                <c:pt idx="25">
                  <c:v>108.84655372549018</c:v>
                </c:pt>
                <c:pt idx="26">
                  <c:v>108.84655372549018</c:v>
                </c:pt>
                <c:pt idx="27">
                  <c:v>108.84655372549018</c:v>
                </c:pt>
                <c:pt idx="28">
                  <c:v>108.84655372549018</c:v>
                </c:pt>
                <c:pt idx="29">
                  <c:v>108.84655372549018</c:v>
                </c:pt>
                <c:pt idx="30">
                  <c:v>108.84655372549018</c:v>
                </c:pt>
                <c:pt idx="31">
                  <c:v>108.84655372549018</c:v>
                </c:pt>
                <c:pt idx="32">
                  <c:v>108.84655372549018</c:v>
                </c:pt>
                <c:pt idx="33">
                  <c:v>108.84655372549018</c:v>
                </c:pt>
                <c:pt idx="34">
                  <c:v>108.84655372549018</c:v>
                </c:pt>
                <c:pt idx="35">
                  <c:v>108.84655372549018</c:v>
                </c:pt>
                <c:pt idx="36">
                  <c:v>108.84655372549018</c:v>
                </c:pt>
                <c:pt idx="37">
                  <c:v>108.84655372549018</c:v>
                </c:pt>
                <c:pt idx="38">
                  <c:v>108.84655372549018</c:v>
                </c:pt>
                <c:pt idx="39">
                  <c:v>108.84655372549018</c:v>
                </c:pt>
                <c:pt idx="40">
                  <c:v>108.84655372549018</c:v>
                </c:pt>
                <c:pt idx="41">
                  <c:v>108.84655372549018</c:v>
                </c:pt>
                <c:pt idx="42">
                  <c:v>108.84655372549018</c:v>
                </c:pt>
                <c:pt idx="43">
                  <c:v>108.84655372549018</c:v>
                </c:pt>
                <c:pt idx="44">
                  <c:v>108.84655372549018</c:v>
                </c:pt>
                <c:pt idx="45">
                  <c:v>108.84655372549018</c:v>
                </c:pt>
                <c:pt idx="46">
                  <c:v>108.84655372549018</c:v>
                </c:pt>
                <c:pt idx="47">
                  <c:v>108.84655372549018</c:v>
                </c:pt>
                <c:pt idx="48">
                  <c:v>108.84655372549018</c:v>
                </c:pt>
                <c:pt idx="49">
                  <c:v>108.84655372549018</c:v>
                </c:pt>
                <c:pt idx="50">
                  <c:v>108.84655372549018</c:v>
                </c:pt>
                <c:pt idx="51">
                  <c:v>108.84655372549018</c:v>
                </c:pt>
                <c:pt idx="52">
                  <c:v>108.84655372549018</c:v>
                </c:pt>
                <c:pt idx="53">
                  <c:v>108.84655372549018</c:v>
                </c:pt>
                <c:pt idx="54">
                  <c:v>108.84655372549018</c:v>
                </c:pt>
                <c:pt idx="55">
                  <c:v>108.84655372549018</c:v>
                </c:pt>
                <c:pt idx="56">
                  <c:v>108.84655372549018</c:v>
                </c:pt>
                <c:pt idx="57">
                  <c:v>108.84655372549018</c:v>
                </c:pt>
                <c:pt idx="58">
                  <c:v>108.84655372549018</c:v>
                </c:pt>
                <c:pt idx="59">
                  <c:v>108.84655372549018</c:v>
                </c:pt>
                <c:pt idx="60">
                  <c:v>108.84655372549018</c:v>
                </c:pt>
                <c:pt idx="61">
                  <c:v>108.84655372549018</c:v>
                </c:pt>
                <c:pt idx="62">
                  <c:v>108.84655372549018</c:v>
                </c:pt>
                <c:pt idx="63">
                  <c:v>108.84655372549018</c:v>
                </c:pt>
                <c:pt idx="64">
                  <c:v>108.84655372549018</c:v>
                </c:pt>
                <c:pt idx="65">
                  <c:v>108.84655372549018</c:v>
                </c:pt>
                <c:pt idx="66">
                  <c:v>108.84655372549018</c:v>
                </c:pt>
                <c:pt idx="67">
                  <c:v>108.84655372549018</c:v>
                </c:pt>
                <c:pt idx="68">
                  <c:v>108.84655372549018</c:v>
                </c:pt>
                <c:pt idx="69">
                  <c:v>108.84655372549018</c:v>
                </c:pt>
                <c:pt idx="70">
                  <c:v>108.84655372549018</c:v>
                </c:pt>
                <c:pt idx="71">
                  <c:v>108.84655372549018</c:v>
                </c:pt>
                <c:pt idx="72">
                  <c:v>108.84655372549018</c:v>
                </c:pt>
                <c:pt idx="73">
                  <c:v>108.84655372549018</c:v>
                </c:pt>
                <c:pt idx="74">
                  <c:v>108.84655372549018</c:v>
                </c:pt>
                <c:pt idx="75">
                  <c:v>108.84655372549018</c:v>
                </c:pt>
                <c:pt idx="76">
                  <c:v>108.84655372549018</c:v>
                </c:pt>
                <c:pt idx="77">
                  <c:v>108.84655372549018</c:v>
                </c:pt>
                <c:pt idx="78">
                  <c:v>108.84655372549018</c:v>
                </c:pt>
                <c:pt idx="79">
                  <c:v>108.84655372549018</c:v>
                </c:pt>
                <c:pt idx="80">
                  <c:v>108.84655372549018</c:v>
                </c:pt>
                <c:pt idx="81">
                  <c:v>108.84655372549018</c:v>
                </c:pt>
                <c:pt idx="82">
                  <c:v>108.84655372549018</c:v>
                </c:pt>
                <c:pt idx="83">
                  <c:v>108.84655372549018</c:v>
                </c:pt>
                <c:pt idx="84">
                  <c:v>108.84655372549018</c:v>
                </c:pt>
                <c:pt idx="85">
                  <c:v>108.84655372549018</c:v>
                </c:pt>
                <c:pt idx="86">
                  <c:v>108.84655372549018</c:v>
                </c:pt>
                <c:pt idx="87">
                  <c:v>108.84655372549018</c:v>
                </c:pt>
                <c:pt idx="88">
                  <c:v>108.84655372549018</c:v>
                </c:pt>
                <c:pt idx="89">
                  <c:v>108.84655372549018</c:v>
                </c:pt>
                <c:pt idx="90">
                  <c:v>108.84655372549018</c:v>
                </c:pt>
                <c:pt idx="91">
                  <c:v>108.84655372549018</c:v>
                </c:pt>
                <c:pt idx="92">
                  <c:v>108.84655372549018</c:v>
                </c:pt>
                <c:pt idx="93">
                  <c:v>108.84655372549018</c:v>
                </c:pt>
                <c:pt idx="94">
                  <c:v>108.84655372549018</c:v>
                </c:pt>
                <c:pt idx="95">
                  <c:v>108.84655372549018</c:v>
                </c:pt>
                <c:pt idx="96">
                  <c:v>108.84655372549018</c:v>
                </c:pt>
                <c:pt idx="97">
                  <c:v>108.84655372549018</c:v>
                </c:pt>
                <c:pt idx="98">
                  <c:v>108.84655372549018</c:v>
                </c:pt>
                <c:pt idx="99">
                  <c:v>108.84655372549018</c:v>
                </c:pt>
              </c:numCache>
            </c:numRef>
          </c:val>
          <c:smooth val="1"/>
          <c:extLst xmlns:c16r2="http://schemas.microsoft.com/office/drawing/2015/06/chart">
            <c:ext xmlns:c16="http://schemas.microsoft.com/office/drawing/2014/chart" uri="{C3380CC4-5D6E-409C-BE32-E72D297353CC}">
              <c16:uniqueId val="{0000000C-2693-45BF-90A0-8285D410600B}"/>
            </c:ext>
          </c:extLst>
        </c:ser>
        <c:dLbls>
          <c:showLegendKey val="0"/>
          <c:showVal val="0"/>
          <c:showCatName val="0"/>
          <c:showSerName val="0"/>
          <c:showPercent val="0"/>
          <c:showBubbleSize val="0"/>
        </c:dLbls>
        <c:marker val="1"/>
        <c:smooth val="0"/>
        <c:axId val="526543920"/>
        <c:axId val="526544480"/>
      </c:lineChart>
      <c:catAx>
        <c:axId val="5265439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526544480"/>
        <c:crosses val="autoZero"/>
        <c:auto val="1"/>
        <c:lblAlgn val="ctr"/>
        <c:lblOffset val="500"/>
        <c:tickLblSkip val="5"/>
        <c:tickMarkSkip val="10"/>
        <c:noMultiLvlLbl val="0"/>
      </c:catAx>
      <c:valAx>
        <c:axId val="5265444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26543920"/>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1.12E-2</c:v>
                </c:pt>
                <c:pt idx="1">
                  <c:v>1.4500000000000001E-2</c:v>
                </c:pt>
                <c:pt idx="2">
                  <c:v>1.7000000000000001E-2</c:v>
                </c:pt>
                <c:pt idx="3">
                  <c:v>1.8499999999999999E-2</c:v>
                </c:pt>
                <c:pt idx="4">
                  <c:v>2.0199999999999999E-2</c:v>
                </c:pt>
                <c:pt idx="5">
                  <c:v>2.18E-2</c:v>
                </c:pt>
                <c:pt idx="6">
                  <c:v>2.3300000000000001E-2</c:v>
                </c:pt>
                <c:pt idx="7">
                  <c:v>2.46E-2</c:v>
                </c:pt>
                <c:pt idx="8">
                  <c:v>2.5600000000000001E-2</c:v>
                </c:pt>
                <c:pt idx="9">
                  <c:v>2.64E-2</c:v>
                </c:pt>
                <c:pt idx="10">
                  <c:v>2.7199999999999998E-2</c:v>
                </c:pt>
                <c:pt idx="11">
                  <c:v>2.8000000000000001E-2</c:v>
                </c:pt>
                <c:pt idx="12">
                  <c:v>2.87E-2</c:v>
                </c:pt>
                <c:pt idx="13">
                  <c:v>2.92E-2</c:v>
                </c:pt>
                <c:pt idx="14">
                  <c:v>2.9700000000000001E-2</c:v>
                </c:pt>
                <c:pt idx="15">
                  <c:v>3.0099999999999998E-2</c:v>
                </c:pt>
                <c:pt idx="16">
                  <c:v>3.0599999999999999E-2</c:v>
                </c:pt>
                <c:pt idx="17">
                  <c:v>3.1E-2</c:v>
                </c:pt>
                <c:pt idx="18">
                  <c:v>3.15E-2</c:v>
                </c:pt>
                <c:pt idx="19">
                  <c:v>3.1899999999999998E-2</c:v>
                </c:pt>
                <c:pt idx="20">
                  <c:v>3.2300000000000002E-2</c:v>
                </c:pt>
                <c:pt idx="21">
                  <c:v>3.2800000000000003E-2</c:v>
                </c:pt>
                <c:pt idx="22">
                  <c:v>3.32E-2</c:v>
                </c:pt>
                <c:pt idx="23">
                  <c:v>3.3599999999999998E-2</c:v>
                </c:pt>
                <c:pt idx="24">
                  <c:v>3.4000000000000002E-2</c:v>
                </c:pt>
                <c:pt idx="25">
                  <c:v>3.4299999999999997E-2</c:v>
                </c:pt>
                <c:pt idx="26">
                  <c:v>3.4599999999999999E-2</c:v>
                </c:pt>
                <c:pt idx="27">
                  <c:v>3.5000000000000003E-2</c:v>
                </c:pt>
                <c:pt idx="28">
                  <c:v>3.5299999999999998E-2</c:v>
                </c:pt>
                <c:pt idx="29">
                  <c:v>3.56E-2</c:v>
                </c:pt>
                <c:pt idx="30">
                  <c:v>3.5900000000000001E-2</c:v>
                </c:pt>
                <c:pt idx="31">
                  <c:v>3.6200000000000003E-2</c:v>
                </c:pt>
                <c:pt idx="32">
                  <c:v>3.6600000000000001E-2</c:v>
                </c:pt>
                <c:pt idx="33">
                  <c:v>3.6799999999999999E-2</c:v>
                </c:pt>
                <c:pt idx="34">
                  <c:v>3.7100000000000001E-2</c:v>
                </c:pt>
                <c:pt idx="35">
                  <c:v>3.7400000000000003E-2</c:v>
                </c:pt>
                <c:pt idx="36">
                  <c:v>3.7600000000000001E-2</c:v>
                </c:pt>
                <c:pt idx="37">
                  <c:v>3.78E-2</c:v>
                </c:pt>
                <c:pt idx="38">
                  <c:v>3.7999999999999999E-2</c:v>
                </c:pt>
                <c:pt idx="39">
                  <c:v>3.8399999999999997E-2</c:v>
                </c:pt>
                <c:pt idx="40">
                  <c:v>3.8699999999999998E-2</c:v>
                </c:pt>
                <c:pt idx="41">
                  <c:v>3.9E-2</c:v>
                </c:pt>
                <c:pt idx="42">
                  <c:v>3.9199999999999999E-2</c:v>
                </c:pt>
                <c:pt idx="43">
                  <c:v>3.95E-2</c:v>
                </c:pt>
                <c:pt idx="44">
                  <c:v>3.9800000000000002E-2</c:v>
                </c:pt>
                <c:pt idx="45">
                  <c:v>0.04</c:v>
                </c:pt>
                <c:pt idx="46">
                  <c:v>4.02E-2</c:v>
                </c:pt>
                <c:pt idx="47">
                  <c:v>4.0500000000000001E-2</c:v>
                </c:pt>
                <c:pt idx="48">
                  <c:v>4.0800000000000003E-2</c:v>
                </c:pt>
                <c:pt idx="49">
                  <c:v>4.1000000000000002E-2</c:v>
                </c:pt>
                <c:pt idx="50">
                  <c:v>4.1300000000000003E-2</c:v>
                </c:pt>
                <c:pt idx="51">
                  <c:v>4.1599999999999998E-2</c:v>
                </c:pt>
                <c:pt idx="52">
                  <c:v>4.1799999999999997E-2</c:v>
                </c:pt>
                <c:pt idx="53">
                  <c:v>4.2099999999999999E-2</c:v>
                </c:pt>
                <c:pt idx="54">
                  <c:v>4.24E-2</c:v>
                </c:pt>
                <c:pt idx="55">
                  <c:v>4.2599999999999999E-2</c:v>
                </c:pt>
                <c:pt idx="56">
                  <c:v>4.2799999999999998E-2</c:v>
                </c:pt>
                <c:pt idx="57">
                  <c:v>4.2999999999999997E-2</c:v>
                </c:pt>
                <c:pt idx="58">
                  <c:v>4.3200000000000002E-2</c:v>
                </c:pt>
                <c:pt idx="59">
                  <c:v>4.3299999999999998E-2</c:v>
                </c:pt>
                <c:pt idx="60">
                  <c:v>4.36E-2</c:v>
                </c:pt>
                <c:pt idx="61">
                  <c:v>4.3799999999999999E-2</c:v>
                </c:pt>
                <c:pt idx="62">
                  <c:v>4.3999999999999997E-2</c:v>
                </c:pt>
                <c:pt idx="63">
                  <c:v>4.4299999999999999E-2</c:v>
                </c:pt>
                <c:pt idx="64">
                  <c:v>4.4499999999999998E-2</c:v>
                </c:pt>
                <c:pt idx="65">
                  <c:v>4.4699999999999997E-2</c:v>
                </c:pt>
                <c:pt idx="66">
                  <c:v>4.4900000000000002E-2</c:v>
                </c:pt>
                <c:pt idx="67">
                  <c:v>4.53E-2</c:v>
                </c:pt>
                <c:pt idx="68">
                  <c:v>4.5499999999999999E-2</c:v>
                </c:pt>
                <c:pt idx="69">
                  <c:v>4.5699999999999998E-2</c:v>
                </c:pt>
                <c:pt idx="70">
                  <c:v>4.5999999999999999E-2</c:v>
                </c:pt>
                <c:pt idx="71">
                  <c:v>4.6300000000000001E-2</c:v>
                </c:pt>
                <c:pt idx="72">
                  <c:v>4.6600000000000003E-2</c:v>
                </c:pt>
                <c:pt idx="73">
                  <c:v>4.6800000000000001E-2</c:v>
                </c:pt>
                <c:pt idx="74">
                  <c:v>4.7199999999999999E-2</c:v>
                </c:pt>
                <c:pt idx="75">
                  <c:v>4.7500000000000001E-2</c:v>
                </c:pt>
                <c:pt idx="76">
                  <c:v>4.7899999999999998E-2</c:v>
                </c:pt>
                <c:pt idx="77">
                  <c:v>4.82E-2</c:v>
                </c:pt>
                <c:pt idx="78">
                  <c:v>4.8599999999999997E-2</c:v>
                </c:pt>
                <c:pt idx="79">
                  <c:v>4.8899999999999999E-2</c:v>
                </c:pt>
                <c:pt idx="80">
                  <c:v>4.9200000000000001E-2</c:v>
                </c:pt>
                <c:pt idx="81">
                  <c:v>4.9700000000000001E-2</c:v>
                </c:pt>
                <c:pt idx="82">
                  <c:v>5.0099999999999999E-2</c:v>
                </c:pt>
                <c:pt idx="83">
                  <c:v>5.0599999999999999E-2</c:v>
                </c:pt>
                <c:pt idx="84">
                  <c:v>5.0999999999999997E-2</c:v>
                </c:pt>
                <c:pt idx="85">
                  <c:v>5.1499999999999997E-2</c:v>
                </c:pt>
                <c:pt idx="86">
                  <c:v>5.1999999999999998E-2</c:v>
                </c:pt>
                <c:pt idx="87">
                  <c:v>5.2600000000000001E-2</c:v>
                </c:pt>
                <c:pt idx="88">
                  <c:v>5.3100000000000001E-2</c:v>
                </c:pt>
                <c:pt idx="89">
                  <c:v>5.3800000000000001E-2</c:v>
                </c:pt>
                <c:pt idx="90">
                  <c:v>5.45E-2</c:v>
                </c:pt>
                <c:pt idx="91">
                  <c:v>5.5300000000000002E-2</c:v>
                </c:pt>
                <c:pt idx="92">
                  <c:v>5.6000000000000001E-2</c:v>
                </c:pt>
                <c:pt idx="93">
                  <c:v>5.7000000000000002E-2</c:v>
                </c:pt>
                <c:pt idx="94">
                  <c:v>5.8099999999999999E-2</c:v>
                </c:pt>
                <c:pt idx="95">
                  <c:v>5.91E-2</c:v>
                </c:pt>
                <c:pt idx="96">
                  <c:v>6.0100000000000001E-2</c:v>
                </c:pt>
                <c:pt idx="97">
                  <c:v>6.08E-2</c:v>
                </c:pt>
                <c:pt idx="98">
                  <c:v>6.2199999999999998E-2</c:v>
                </c:pt>
                <c:pt idx="99">
                  <c:v>6.4399999999999999E-2</c:v>
                </c:pt>
              </c:numCache>
            </c:numRef>
          </c:val>
          <c:extLst xmlns:c16r2="http://schemas.microsoft.com/office/drawing/2015/06/chart">
            <c:ext xmlns:c16="http://schemas.microsoft.com/office/drawing/2014/chart" uri="{C3380CC4-5D6E-409C-BE32-E72D297353CC}">
              <c16:uniqueId val="{00000000-62B5-4B08-91C3-F343542DC9FF}"/>
            </c:ext>
          </c:extLst>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3.370164266109716E-2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62B5-4B08-91C3-F343542DC9FF}"/>
            </c:ext>
          </c:extLst>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4.1992595879406659E-2</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62B5-4B08-91C3-F343542DC9FF}"/>
            </c:ext>
          </c:extLst>
        </c:ser>
        <c:dLbls>
          <c:showLegendKey val="0"/>
          <c:showVal val="0"/>
          <c:showCatName val="0"/>
          <c:showSerName val="0"/>
          <c:showPercent val="0"/>
          <c:showBubbleSize val="0"/>
        </c:dLbls>
        <c:gapWidth val="0"/>
        <c:overlap val="100"/>
        <c:axId val="526549520"/>
        <c:axId val="52655008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2.3119801651363805E-2</c:v>
                </c:pt>
                <c:pt idx="1">
                  <c:v>2.3119801651363805E-2</c:v>
                </c:pt>
                <c:pt idx="2">
                  <c:v>2.3119801651363805E-2</c:v>
                </c:pt>
                <c:pt idx="3">
                  <c:v>2.3119801651363805E-2</c:v>
                </c:pt>
                <c:pt idx="4">
                  <c:v>2.3119801651363805E-2</c:v>
                </c:pt>
                <c:pt idx="5">
                  <c:v>2.3119801651363805E-2</c:v>
                </c:pt>
                <c:pt idx="6">
                  <c:v>2.3119801651363805E-2</c:v>
                </c:pt>
                <c:pt idx="7">
                  <c:v>2.3119801651363805E-2</c:v>
                </c:pt>
                <c:pt idx="8">
                  <c:v>2.3119801651363805E-2</c:v>
                </c:pt>
                <c:pt idx="9">
                  <c:v>2.3119801651363805E-2</c:v>
                </c:pt>
                <c:pt idx="10">
                  <c:v>2.3119801651363805E-2</c:v>
                </c:pt>
                <c:pt idx="11">
                  <c:v>2.3119801651363805E-2</c:v>
                </c:pt>
                <c:pt idx="12">
                  <c:v>2.3119801651363805E-2</c:v>
                </c:pt>
                <c:pt idx="13">
                  <c:v>2.3119801651363805E-2</c:v>
                </c:pt>
                <c:pt idx="14">
                  <c:v>2.3119801651363805E-2</c:v>
                </c:pt>
                <c:pt idx="15">
                  <c:v>2.3119801651363805E-2</c:v>
                </c:pt>
                <c:pt idx="16">
                  <c:v>2.3119801651363805E-2</c:v>
                </c:pt>
                <c:pt idx="17">
                  <c:v>2.3119801651363805E-2</c:v>
                </c:pt>
                <c:pt idx="18">
                  <c:v>2.3119801651363805E-2</c:v>
                </c:pt>
                <c:pt idx="19">
                  <c:v>2.3119801651363805E-2</c:v>
                </c:pt>
                <c:pt idx="20">
                  <c:v>2.3119801651363805E-2</c:v>
                </c:pt>
                <c:pt idx="21">
                  <c:v>2.3119801651363805E-2</c:v>
                </c:pt>
                <c:pt idx="22">
                  <c:v>2.3119801651363805E-2</c:v>
                </c:pt>
                <c:pt idx="23">
                  <c:v>2.3119801651363805E-2</c:v>
                </c:pt>
                <c:pt idx="24">
                  <c:v>2.3119801651363805E-2</c:v>
                </c:pt>
                <c:pt idx="25">
                  <c:v>2.3119801651363805E-2</c:v>
                </c:pt>
                <c:pt idx="26">
                  <c:v>2.3119801651363805E-2</c:v>
                </c:pt>
                <c:pt idx="27">
                  <c:v>2.3119801651363805E-2</c:v>
                </c:pt>
                <c:pt idx="28">
                  <c:v>2.3119801651363805E-2</c:v>
                </c:pt>
                <c:pt idx="29">
                  <c:v>2.3119801651363805E-2</c:v>
                </c:pt>
                <c:pt idx="30">
                  <c:v>2.3119801651363805E-2</c:v>
                </c:pt>
                <c:pt idx="31">
                  <c:v>2.3119801651363805E-2</c:v>
                </c:pt>
                <c:pt idx="32">
                  <c:v>2.3119801651363805E-2</c:v>
                </c:pt>
                <c:pt idx="33">
                  <c:v>2.3119801651363805E-2</c:v>
                </c:pt>
                <c:pt idx="34">
                  <c:v>2.3119801651363805E-2</c:v>
                </c:pt>
                <c:pt idx="35">
                  <c:v>2.3119801651363805E-2</c:v>
                </c:pt>
                <c:pt idx="36">
                  <c:v>2.3119801651363805E-2</c:v>
                </c:pt>
                <c:pt idx="37">
                  <c:v>2.3119801651363805E-2</c:v>
                </c:pt>
                <c:pt idx="38">
                  <c:v>2.3119801651363805E-2</c:v>
                </c:pt>
                <c:pt idx="39">
                  <c:v>2.3119801651363805E-2</c:v>
                </c:pt>
                <c:pt idx="40">
                  <c:v>2.3119801651363805E-2</c:v>
                </c:pt>
                <c:pt idx="41">
                  <c:v>2.3119801651363805E-2</c:v>
                </c:pt>
                <c:pt idx="42">
                  <c:v>2.3119801651363805E-2</c:v>
                </c:pt>
                <c:pt idx="43">
                  <c:v>2.3119801651363805E-2</c:v>
                </c:pt>
                <c:pt idx="44">
                  <c:v>2.3119801651363805E-2</c:v>
                </c:pt>
                <c:pt idx="45">
                  <c:v>2.3119801651363805E-2</c:v>
                </c:pt>
                <c:pt idx="46">
                  <c:v>2.3119801651363805E-2</c:v>
                </c:pt>
                <c:pt idx="47">
                  <c:v>2.3119801651363805E-2</c:v>
                </c:pt>
                <c:pt idx="48">
                  <c:v>2.3119801651363805E-2</c:v>
                </c:pt>
                <c:pt idx="49">
                  <c:v>2.3119801651363805E-2</c:v>
                </c:pt>
                <c:pt idx="50">
                  <c:v>2.3119801651363805E-2</c:v>
                </c:pt>
                <c:pt idx="51">
                  <c:v>2.3119801651363805E-2</c:v>
                </c:pt>
                <c:pt idx="52">
                  <c:v>2.3119801651363805E-2</c:v>
                </c:pt>
                <c:pt idx="53">
                  <c:v>2.3119801651363805E-2</c:v>
                </c:pt>
                <c:pt idx="54">
                  <c:v>2.3119801651363805E-2</c:v>
                </c:pt>
                <c:pt idx="55">
                  <c:v>2.3119801651363805E-2</c:v>
                </c:pt>
                <c:pt idx="56">
                  <c:v>2.3119801651363805E-2</c:v>
                </c:pt>
                <c:pt idx="57">
                  <c:v>2.3119801651363805E-2</c:v>
                </c:pt>
                <c:pt idx="58">
                  <c:v>2.3119801651363805E-2</c:v>
                </c:pt>
                <c:pt idx="59">
                  <c:v>2.3119801651363805E-2</c:v>
                </c:pt>
                <c:pt idx="60">
                  <c:v>2.3119801651363805E-2</c:v>
                </c:pt>
                <c:pt idx="61">
                  <c:v>2.3119801651363805E-2</c:v>
                </c:pt>
                <c:pt idx="62">
                  <c:v>2.3119801651363805E-2</c:v>
                </c:pt>
                <c:pt idx="63">
                  <c:v>2.3119801651363805E-2</c:v>
                </c:pt>
                <c:pt idx="64">
                  <c:v>2.3119801651363805E-2</c:v>
                </c:pt>
                <c:pt idx="65">
                  <c:v>2.3119801651363805E-2</c:v>
                </c:pt>
                <c:pt idx="66">
                  <c:v>2.3119801651363805E-2</c:v>
                </c:pt>
                <c:pt idx="67">
                  <c:v>2.3119801651363805E-2</c:v>
                </c:pt>
                <c:pt idx="68">
                  <c:v>2.3119801651363805E-2</c:v>
                </c:pt>
                <c:pt idx="69">
                  <c:v>2.3119801651363805E-2</c:v>
                </c:pt>
                <c:pt idx="70">
                  <c:v>2.3119801651363805E-2</c:v>
                </c:pt>
                <c:pt idx="71">
                  <c:v>2.3119801651363805E-2</c:v>
                </c:pt>
                <c:pt idx="72">
                  <c:v>2.3119801651363805E-2</c:v>
                </c:pt>
                <c:pt idx="73">
                  <c:v>2.3119801651363805E-2</c:v>
                </c:pt>
                <c:pt idx="74">
                  <c:v>2.3119801651363805E-2</c:v>
                </c:pt>
                <c:pt idx="75">
                  <c:v>2.3119801651363805E-2</c:v>
                </c:pt>
                <c:pt idx="76">
                  <c:v>2.3119801651363805E-2</c:v>
                </c:pt>
                <c:pt idx="77">
                  <c:v>2.3119801651363805E-2</c:v>
                </c:pt>
                <c:pt idx="78">
                  <c:v>2.3119801651363805E-2</c:v>
                </c:pt>
                <c:pt idx="79">
                  <c:v>2.3119801651363805E-2</c:v>
                </c:pt>
                <c:pt idx="80">
                  <c:v>2.3119801651363805E-2</c:v>
                </c:pt>
                <c:pt idx="81">
                  <c:v>2.3119801651363805E-2</c:v>
                </c:pt>
                <c:pt idx="82">
                  <c:v>2.3119801651363805E-2</c:v>
                </c:pt>
                <c:pt idx="83">
                  <c:v>2.3119801651363805E-2</c:v>
                </c:pt>
                <c:pt idx="84">
                  <c:v>2.3119801651363805E-2</c:v>
                </c:pt>
                <c:pt idx="85">
                  <c:v>2.3119801651363805E-2</c:v>
                </c:pt>
                <c:pt idx="86">
                  <c:v>2.3119801651363805E-2</c:v>
                </c:pt>
                <c:pt idx="87">
                  <c:v>2.3119801651363805E-2</c:v>
                </c:pt>
                <c:pt idx="88">
                  <c:v>2.3119801651363805E-2</c:v>
                </c:pt>
                <c:pt idx="89">
                  <c:v>2.3119801651363805E-2</c:v>
                </c:pt>
                <c:pt idx="90">
                  <c:v>2.3119801651363805E-2</c:v>
                </c:pt>
                <c:pt idx="91">
                  <c:v>2.3119801651363805E-2</c:v>
                </c:pt>
                <c:pt idx="92">
                  <c:v>2.3119801651363805E-2</c:v>
                </c:pt>
                <c:pt idx="93">
                  <c:v>2.3119801651363805E-2</c:v>
                </c:pt>
                <c:pt idx="94">
                  <c:v>2.3119801651363805E-2</c:v>
                </c:pt>
                <c:pt idx="95">
                  <c:v>2.3119801651363805E-2</c:v>
                </c:pt>
                <c:pt idx="96">
                  <c:v>2.3119801651363805E-2</c:v>
                </c:pt>
                <c:pt idx="97">
                  <c:v>2.3119801651363805E-2</c:v>
                </c:pt>
                <c:pt idx="98">
                  <c:v>2.3119801651363805E-2</c:v>
                </c:pt>
                <c:pt idx="99">
                  <c:v>2.3119801651363805E-2</c:v>
                </c:pt>
              </c:numCache>
            </c:numRef>
          </c:val>
          <c:smooth val="0"/>
          <c:extLst xmlns:c16r2="http://schemas.microsoft.com/office/drawing/2015/06/chart">
            <c:ext xmlns:c16="http://schemas.microsoft.com/office/drawing/2014/chart" uri="{C3380CC4-5D6E-409C-BE32-E72D297353CC}">
              <c16:uniqueId val="{00000003-62B5-4B08-91C3-F343542DC9FF}"/>
            </c:ext>
          </c:extLst>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9.2479206605455225E-3</c:v>
                </c:pt>
                <c:pt idx="1">
                  <c:v>9.2479206605455225E-3</c:v>
                </c:pt>
                <c:pt idx="2">
                  <c:v>9.2479206605455225E-3</c:v>
                </c:pt>
                <c:pt idx="3">
                  <c:v>9.2479206605455225E-3</c:v>
                </c:pt>
                <c:pt idx="4">
                  <c:v>9.2479206605455225E-3</c:v>
                </c:pt>
                <c:pt idx="5">
                  <c:v>9.2479206605455225E-3</c:v>
                </c:pt>
                <c:pt idx="6">
                  <c:v>9.2479206605455225E-3</c:v>
                </c:pt>
                <c:pt idx="7">
                  <c:v>9.2479206605455225E-3</c:v>
                </c:pt>
                <c:pt idx="8">
                  <c:v>9.2479206605455225E-3</c:v>
                </c:pt>
                <c:pt idx="9">
                  <c:v>9.2479206605455225E-3</c:v>
                </c:pt>
                <c:pt idx="10">
                  <c:v>9.2479206605455225E-3</c:v>
                </c:pt>
                <c:pt idx="11">
                  <c:v>9.2479206605455225E-3</c:v>
                </c:pt>
                <c:pt idx="12">
                  <c:v>9.2479206605455225E-3</c:v>
                </c:pt>
                <c:pt idx="13">
                  <c:v>9.2479206605455225E-3</c:v>
                </c:pt>
                <c:pt idx="14">
                  <c:v>9.2479206605455225E-3</c:v>
                </c:pt>
                <c:pt idx="15">
                  <c:v>9.2479206605455225E-3</c:v>
                </c:pt>
                <c:pt idx="16">
                  <c:v>9.2479206605455225E-3</c:v>
                </c:pt>
                <c:pt idx="17">
                  <c:v>9.2479206605455225E-3</c:v>
                </c:pt>
                <c:pt idx="18">
                  <c:v>9.2479206605455225E-3</c:v>
                </c:pt>
                <c:pt idx="19">
                  <c:v>9.2479206605455225E-3</c:v>
                </c:pt>
                <c:pt idx="20">
                  <c:v>9.2479206605455225E-3</c:v>
                </c:pt>
                <c:pt idx="21">
                  <c:v>9.2479206605455225E-3</c:v>
                </c:pt>
                <c:pt idx="22">
                  <c:v>9.2479206605455225E-3</c:v>
                </c:pt>
                <c:pt idx="23">
                  <c:v>9.2479206605455225E-3</c:v>
                </c:pt>
                <c:pt idx="24">
                  <c:v>9.2479206605455225E-3</c:v>
                </c:pt>
                <c:pt idx="25">
                  <c:v>9.2479206605455225E-3</c:v>
                </c:pt>
                <c:pt idx="26">
                  <c:v>9.2479206605455225E-3</c:v>
                </c:pt>
                <c:pt idx="27">
                  <c:v>9.2479206605455225E-3</c:v>
                </c:pt>
                <c:pt idx="28">
                  <c:v>9.2479206605455225E-3</c:v>
                </c:pt>
                <c:pt idx="29">
                  <c:v>9.2479206605455225E-3</c:v>
                </c:pt>
                <c:pt idx="30">
                  <c:v>9.2479206605455225E-3</c:v>
                </c:pt>
                <c:pt idx="31">
                  <c:v>9.2479206605455225E-3</c:v>
                </c:pt>
                <c:pt idx="32">
                  <c:v>9.2479206605455225E-3</c:v>
                </c:pt>
                <c:pt idx="33">
                  <c:v>9.2479206605455225E-3</c:v>
                </c:pt>
                <c:pt idx="34">
                  <c:v>9.2479206605455225E-3</c:v>
                </c:pt>
                <c:pt idx="35">
                  <c:v>9.2479206605455225E-3</c:v>
                </c:pt>
                <c:pt idx="36">
                  <c:v>9.2479206605455225E-3</c:v>
                </c:pt>
                <c:pt idx="37">
                  <c:v>9.2479206605455225E-3</c:v>
                </c:pt>
                <c:pt idx="38">
                  <c:v>9.2479206605455225E-3</c:v>
                </c:pt>
                <c:pt idx="39">
                  <c:v>9.2479206605455225E-3</c:v>
                </c:pt>
                <c:pt idx="40">
                  <c:v>9.2479206605455225E-3</c:v>
                </c:pt>
                <c:pt idx="41">
                  <c:v>9.2479206605455225E-3</c:v>
                </c:pt>
                <c:pt idx="42">
                  <c:v>9.2479206605455225E-3</c:v>
                </c:pt>
                <c:pt idx="43">
                  <c:v>9.2479206605455225E-3</c:v>
                </c:pt>
                <c:pt idx="44">
                  <c:v>9.2479206605455225E-3</c:v>
                </c:pt>
                <c:pt idx="45">
                  <c:v>9.2479206605455225E-3</c:v>
                </c:pt>
                <c:pt idx="46">
                  <c:v>9.2479206605455225E-3</c:v>
                </c:pt>
                <c:pt idx="47">
                  <c:v>9.2479206605455225E-3</c:v>
                </c:pt>
                <c:pt idx="48">
                  <c:v>9.2479206605455225E-3</c:v>
                </c:pt>
                <c:pt idx="49">
                  <c:v>9.2479206605455225E-3</c:v>
                </c:pt>
                <c:pt idx="50">
                  <c:v>9.2479206605455225E-3</c:v>
                </c:pt>
                <c:pt idx="51">
                  <c:v>9.2479206605455225E-3</c:v>
                </c:pt>
                <c:pt idx="52">
                  <c:v>9.2479206605455225E-3</c:v>
                </c:pt>
                <c:pt idx="53">
                  <c:v>9.2479206605455225E-3</c:v>
                </c:pt>
                <c:pt idx="54">
                  <c:v>9.2479206605455225E-3</c:v>
                </c:pt>
                <c:pt idx="55">
                  <c:v>9.2479206605455225E-3</c:v>
                </c:pt>
                <c:pt idx="56">
                  <c:v>9.2479206605455225E-3</c:v>
                </c:pt>
                <c:pt idx="57">
                  <c:v>9.2479206605455225E-3</c:v>
                </c:pt>
                <c:pt idx="58">
                  <c:v>9.2479206605455225E-3</c:v>
                </c:pt>
                <c:pt idx="59">
                  <c:v>9.2479206605455225E-3</c:v>
                </c:pt>
                <c:pt idx="60">
                  <c:v>9.2479206605455225E-3</c:v>
                </c:pt>
                <c:pt idx="61">
                  <c:v>9.2479206605455225E-3</c:v>
                </c:pt>
                <c:pt idx="62">
                  <c:v>9.2479206605455225E-3</c:v>
                </c:pt>
                <c:pt idx="63">
                  <c:v>9.2479206605455225E-3</c:v>
                </c:pt>
                <c:pt idx="64">
                  <c:v>9.2479206605455225E-3</c:v>
                </c:pt>
                <c:pt idx="65">
                  <c:v>9.2479206605455225E-3</c:v>
                </c:pt>
                <c:pt idx="66">
                  <c:v>9.2479206605455225E-3</c:v>
                </c:pt>
                <c:pt idx="67">
                  <c:v>9.2479206605455225E-3</c:v>
                </c:pt>
                <c:pt idx="68">
                  <c:v>9.2479206605455225E-3</c:v>
                </c:pt>
                <c:pt idx="69">
                  <c:v>9.2479206605455225E-3</c:v>
                </c:pt>
                <c:pt idx="70">
                  <c:v>9.2479206605455225E-3</c:v>
                </c:pt>
                <c:pt idx="71">
                  <c:v>9.2479206605455225E-3</c:v>
                </c:pt>
                <c:pt idx="72">
                  <c:v>9.2479206605455225E-3</c:v>
                </c:pt>
                <c:pt idx="73">
                  <c:v>9.2479206605455225E-3</c:v>
                </c:pt>
                <c:pt idx="74">
                  <c:v>9.2479206605455225E-3</c:v>
                </c:pt>
                <c:pt idx="75">
                  <c:v>9.2479206605455225E-3</c:v>
                </c:pt>
                <c:pt idx="76">
                  <c:v>9.2479206605455225E-3</c:v>
                </c:pt>
                <c:pt idx="77">
                  <c:v>9.2479206605455225E-3</c:v>
                </c:pt>
                <c:pt idx="78">
                  <c:v>9.2479206605455225E-3</c:v>
                </c:pt>
                <c:pt idx="79">
                  <c:v>9.2479206605455225E-3</c:v>
                </c:pt>
                <c:pt idx="80">
                  <c:v>9.2479206605455225E-3</c:v>
                </c:pt>
                <c:pt idx="81">
                  <c:v>9.2479206605455225E-3</c:v>
                </c:pt>
                <c:pt idx="82">
                  <c:v>9.2479206605455225E-3</c:v>
                </c:pt>
                <c:pt idx="83">
                  <c:v>9.2479206605455225E-3</c:v>
                </c:pt>
                <c:pt idx="84">
                  <c:v>9.2479206605455225E-3</c:v>
                </c:pt>
                <c:pt idx="85">
                  <c:v>9.2479206605455225E-3</c:v>
                </c:pt>
                <c:pt idx="86">
                  <c:v>9.2479206605455225E-3</c:v>
                </c:pt>
                <c:pt idx="87">
                  <c:v>9.2479206605455225E-3</c:v>
                </c:pt>
                <c:pt idx="88">
                  <c:v>9.2479206605455225E-3</c:v>
                </c:pt>
                <c:pt idx="89">
                  <c:v>9.2479206605455225E-3</c:v>
                </c:pt>
                <c:pt idx="90">
                  <c:v>9.2479206605455225E-3</c:v>
                </c:pt>
                <c:pt idx="91">
                  <c:v>9.2479206605455225E-3</c:v>
                </c:pt>
                <c:pt idx="92">
                  <c:v>9.2479206605455225E-3</c:v>
                </c:pt>
                <c:pt idx="93">
                  <c:v>9.2479206605455225E-3</c:v>
                </c:pt>
                <c:pt idx="94">
                  <c:v>9.2479206605455225E-3</c:v>
                </c:pt>
                <c:pt idx="95">
                  <c:v>9.2479206605455225E-3</c:v>
                </c:pt>
                <c:pt idx="96">
                  <c:v>9.2479206605455225E-3</c:v>
                </c:pt>
                <c:pt idx="97">
                  <c:v>9.2479206605455225E-3</c:v>
                </c:pt>
                <c:pt idx="98">
                  <c:v>9.2479206605455225E-3</c:v>
                </c:pt>
                <c:pt idx="99">
                  <c:v>9.2479206605455225E-3</c:v>
                </c:pt>
              </c:numCache>
            </c:numRef>
          </c:val>
          <c:smooth val="0"/>
          <c:extLst xmlns:c16r2="http://schemas.microsoft.com/office/drawing/2015/06/chart">
            <c:ext xmlns:c16="http://schemas.microsoft.com/office/drawing/2014/chart" uri="{C3380CC4-5D6E-409C-BE32-E72D297353CC}">
              <c16:uniqueId val="{00000004-62B5-4B08-91C3-F343542DC9FF}"/>
            </c:ext>
          </c:extLst>
        </c:ser>
        <c:dLbls>
          <c:showLegendKey val="0"/>
          <c:showVal val="0"/>
          <c:showCatName val="0"/>
          <c:showSerName val="0"/>
          <c:showPercent val="0"/>
          <c:showBubbleSize val="0"/>
        </c:dLbls>
        <c:marker val="1"/>
        <c:smooth val="0"/>
        <c:axId val="526549520"/>
        <c:axId val="526550080"/>
      </c:lineChart>
      <c:catAx>
        <c:axId val="5265495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526550080"/>
        <c:crosses val="autoZero"/>
        <c:auto val="1"/>
        <c:lblAlgn val="ctr"/>
        <c:lblOffset val="500"/>
        <c:tickLblSkip val="5"/>
        <c:noMultiLvlLbl val="0"/>
      </c:catAx>
      <c:valAx>
        <c:axId val="5265500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526549520"/>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D01-408F-A84A-90E99DA38050}"/>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1D01-408F-A84A-90E99DA38050}"/>
            </c:ext>
          </c:extLst>
        </c:ser>
        <c:dLbls>
          <c:showLegendKey val="0"/>
          <c:showVal val="0"/>
          <c:showCatName val="0"/>
          <c:showSerName val="0"/>
          <c:showPercent val="0"/>
          <c:showBubbleSize val="0"/>
        </c:dLbls>
        <c:gapWidth val="0"/>
        <c:overlap val="100"/>
        <c:axId val="400846352"/>
        <c:axId val="4008457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2-1D01-408F-A84A-90E99DA38050}"/>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3-1D01-408F-A84A-90E99DA38050}"/>
            </c:ext>
          </c:extLst>
        </c:ser>
        <c:dLbls>
          <c:showLegendKey val="0"/>
          <c:showVal val="0"/>
          <c:showCatName val="0"/>
          <c:showSerName val="0"/>
          <c:showPercent val="0"/>
          <c:showBubbleSize val="0"/>
        </c:dLbls>
        <c:marker val="1"/>
        <c:smooth val="0"/>
        <c:axId val="400846352"/>
        <c:axId val="400845792"/>
      </c:lineChart>
      <c:catAx>
        <c:axId val="400846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00845792"/>
        <c:crosses val="autoZero"/>
        <c:auto val="1"/>
        <c:lblAlgn val="ctr"/>
        <c:lblOffset val="500"/>
        <c:tickLblSkip val="5"/>
        <c:noMultiLvlLbl val="0"/>
      </c:catAx>
      <c:valAx>
        <c:axId val="4008457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00846352"/>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25.87</c:v>
                </c:pt>
                <c:pt idx="1">
                  <c:v>27.43</c:v>
                </c:pt>
                <c:pt idx="2">
                  <c:v>29.24</c:v>
                </c:pt>
                <c:pt idx="3">
                  <c:v>31.03</c:v>
                </c:pt>
                <c:pt idx="4">
                  <c:v>33.21</c:v>
                </c:pt>
                <c:pt idx="5">
                  <c:v>34.26</c:v>
                </c:pt>
                <c:pt idx="6">
                  <c:v>35.880000000000003</c:v>
                </c:pt>
                <c:pt idx="7">
                  <c:v>37.03</c:v>
                </c:pt>
                <c:pt idx="8">
                  <c:v>39.380000000000003</c:v>
                </c:pt>
                <c:pt idx="9">
                  <c:v>40.81</c:v>
                </c:pt>
                <c:pt idx="10">
                  <c:v>43.01</c:v>
                </c:pt>
                <c:pt idx="11">
                  <c:v>43.7</c:v>
                </c:pt>
                <c:pt idx="12">
                  <c:v>44.43</c:v>
                </c:pt>
                <c:pt idx="13">
                  <c:v>45.09</c:v>
                </c:pt>
                <c:pt idx="14">
                  <c:v>46.65</c:v>
                </c:pt>
                <c:pt idx="15">
                  <c:v>48.2</c:v>
                </c:pt>
                <c:pt idx="16">
                  <c:v>49.74</c:v>
                </c:pt>
                <c:pt idx="17">
                  <c:v>50.41</c:v>
                </c:pt>
                <c:pt idx="18">
                  <c:v>51.37</c:v>
                </c:pt>
                <c:pt idx="19">
                  <c:v>52.03</c:v>
                </c:pt>
                <c:pt idx="20">
                  <c:v>53.09</c:v>
                </c:pt>
                <c:pt idx="21">
                  <c:v>53.56</c:v>
                </c:pt>
                <c:pt idx="22">
                  <c:v>54.36</c:v>
                </c:pt>
                <c:pt idx="23">
                  <c:v>55.19</c:v>
                </c:pt>
                <c:pt idx="24">
                  <c:v>56.04</c:v>
                </c:pt>
                <c:pt idx="25">
                  <c:v>57.15</c:v>
                </c:pt>
                <c:pt idx="26">
                  <c:v>57.82</c:v>
                </c:pt>
                <c:pt idx="27">
                  <c:v>58.72</c:v>
                </c:pt>
                <c:pt idx="28">
                  <c:v>59.56</c:v>
                </c:pt>
                <c:pt idx="29">
                  <c:v>60.39</c:v>
                </c:pt>
                <c:pt idx="30">
                  <c:v>61.46</c:v>
                </c:pt>
                <c:pt idx="31">
                  <c:v>62</c:v>
                </c:pt>
                <c:pt idx="32">
                  <c:v>62.74</c:v>
                </c:pt>
                <c:pt idx="33">
                  <c:v>63.41</c:v>
                </c:pt>
                <c:pt idx="34">
                  <c:v>64.209999999999994</c:v>
                </c:pt>
                <c:pt idx="35">
                  <c:v>64.930000000000007</c:v>
                </c:pt>
                <c:pt idx="36">
                  <c:v>65.72</c:v>
                </c:pt>
                <c:pt idx="37">
                  <c:v>66.61</c:v>
                </c:pt>
                <c:pt idx="38">
                  <c:v>67.7</c:v>
                </c:pt>
                <c:pt idx="39">
                  <c:v>68.63</c:v>
                </c:pt>
                <c:pt idx="40">
                  <c:v>69.569999999999993</c:v>
                </c:pt>
                <c:pt idx="41">
                  <c:v>70.239999999999995</c:v>
                </c:pt>
                <c:pt idx="42">
                  <c:v>70.819999999999993</c:v>
                </c:pt>
                <c:pt idx="43">
                  <c:v>71.33</c:v>
                </c:pt>
                <c:pt idx="44">
                  <c:v>72.319999999999993</c:v>
                </c:pt>
                <c:pt idx="45">
                  <c:v>72.989999999999995</c:v>
                </c:pt>
                <c:pt idx="46">
                  <c:v>73.47</c:v>
                </c:pt>
                <c:pt idx="47">
                  <c:v>74.53</c:v>
                </c:pt>
                <c:pt idx="48">
                  <c:v>75.37</c:v>
                </c:pt>
                <c:pt idx="49">
                  <c:v>76.069999999999993</c:v>
                </c:pt>
                <c:pt idx="50">
                  <c:v>76.81</c:v>
                </c:pt>
                <c:pt idx="51">
                  <c:v>77.44</c:v>
                </c:pt>
                <c:pt idx="52">
                  <c:v>77.94</c:v>
                </c:pt>
                <c:pt idx="53">
                  <c:v>79.3</c:v>
                </c:pt>
                <c:pt idx="54">
                  <c:v>79.900000000000006</c:v>
                </c:pt>
                <c:pt idx="55">
                  <c:v>80.290000000000006</c:v>
                </c:pt>
                <c:pt idx="56">
                  <c:v>81.44</c:v>
                </c:pt>
                <c:pt idx="57">
                  <c:v>82.31</c:v>
                </c:pt>
                <c:pt idx="58">
                  <c:v>83.58</c:v>
                </c:pt>
                <c:pt idx="59">
                  <c:v>84.68</c:v>
                </c:pt>
                <c:pt idx="60">
                  <c:v>85.33</c:v>
                </c:pt>
                <c:pt idx="61">
                  <c:v>86.8</c:v>
                </c:pt>
                <c:pt idx="62">
                  <c:v>87.41</c:v>
                </c:pt>
                <c:pt idx="63">
                  <c:v>88.18</c:v>
                </c:pt>
                <c:pt idx="64">
                  <c:v>89.28</c:v>
                </c:pt>
                <c:pt idx="65">
                  <c:v>89.76</c:v>
                </c:pt>
                <c:pt idx="66">
                  <c:v>90.28</c:v>
                </c:pt>
                <c:pt idx="67">
                  <c:v>90.82</c:v>
                </c:pt>
                <c:pt idx="68">
                  <c:v>91.79</c:v>
                </c:pt>
                <c:pt idx="69">
                  <c:v>92.34</c:v>
                </c:pt>
                <c:pt idx="70">
                  <c:v>93.47</c:v>
                </c:pt>
                <c:pt idx="71">
                  <c:v>94.31</c:v>
                </c:pt>
                <c:pt idx="72">
                  <c:v>95.45</c:v>
                </c:pt>
                <c:pt idx="73">
                  <c:v>96.45</c:v>
                </c:pt>
                <c:pt idx="74">
                  <c:v>97.7</c:v>
                </c:pt>
                <c:pt idx="75">
                  <c:v>98.6</c:v>
                </c:pt>
                <c:pt idx="76">
                  <c:v>99.28</c:v>
                </c:pt>
                <c:pt idx="77">
                  <c:v>99.79</c:v>
                </c:pt>
                <c:pt idx="78">
                  <c:v>100.66</c:v>
                </c:pt>
                <c:pt idx="79">
                  <c:v>101.62</c:v>
                </c:pt>
                <c:pt idx="80">
                  <c:v>103.15</c:v>
                </c:pt>
                <c:pt idx="81">
                  <c:v>104.11</c:v>
                </c:pt>
                <c:pt idx="82">
                  <c:v>104.89</c:v>
                </c:pt>
                <c:pt idx="83">
                  <c:v>106.81</c:v>
                </c:pt>
                <c:pt idx="84">
                  <c:v>107.89</c:v>
                </c:pt>
                <c:pt idx="85">
                  <c:v>109.03</c:v>
                </c:pt>
                <c:pt idx="86">
                  <c:v>110.59</c:v>
                </c:pt>
                <c:pt idx="87">
                  <c:v>111.79</c:v>
                </c:pt>
                <c:pt idx="88">
                  <c:v>113.71</c:v>
                </c:pt>
                <c:pt idx="89">
                  <c:v>115.95</c:v>
                </c:pt>
                <c:pt idx="90">
                  <c:v>117.64</c:v>
                </c:pt>
                <c:pt idx="91">
                  <c:v>118.82</c:v>
                </c:pt>
                <c:pt idx="92">
                  <c:v>120.76</c:v>
                </c:pt>
                <c:pt idx="93">
                  <c:v>123.68</c:v>
                </c:pt>
                <c:pt idx="94">
                  <c:v>127.3</c:v>
                </c:pt>
                <c:pt idx="95">
                  <c:v>132.15</c:v>
                </c:pt>
                <c:pt idx="96">
                  <c:v>140.19</c:v>
                </c:pt>
                <c:pt idx="97">
                  <c:v>145.26</c:v>
                </c:pt>
                <c:pt idx="98">
                  <c:v>155.91999999999999</c:v>
                </c:pt>
                <c:pt idx="99">
                  <c:v>175.85</c:v>
                </c:pt>
              </c:numCache>
            </c:numRef>
          </c:val>
          <c:extLst xmlns:c16r2="http://schemas.microsoft.com/office/drawing/2015/06/chart">
            <c:ext xmlns:c16="http://schemas.microsoft.com/office/drawing/2014/chart" uri="{C3380CC4-5D6E-409C-BE32-E72D297353CC}">
              <c16:uniqueId val="{00000000-6C6A-4E90-B517-7ABC67C75B62}"/>
            </c:ext>
          </c:extLst>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109.52629968133132</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6C6A-4E90-B517-7ABC67C75B62}"/>
            </c:ext>
          </c:extLst>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109.52629968133131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6C6A-4E90-B517-7ABC67C75B62}"/>
            </c:ext>
          </c:extLst>
        </c:ser>
        <c:dLbls>
          <c:showLegendKey val="0"/>
          <c:showVal val="0"/>
          <c:showCatName val="0"/>
          <c:showSerName val="0"/>
          <c:showPercent val="0"/>
          <c:showBubbleSize val="0"/>
        </c:dLbls>
        <c:gapWidth val="0"/>
        <c:overlap val="100"/>
        <c:axId val="526555120"/>
        <c:axId val="52655568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132.71947843137252</c:v>
                </c:pt>
                <c:pt idx="1">
                  <c:v>132.71947843137252</c:v>
                </c:pt>
                <c:pt idx="2">
                  <c:v>132.71947843137252</c:v>
                </c:pt>
                <c:pt idx="3">
                  <c:v>132.71947843137252</c:v>
                </c:pt>
                <c:pt idx="4">
                  <c:v>132.71947843137252</c:v>
                </c:pt>
                <c:pt idx="5">
                  <c:v>132.71947843137252</c:v>
                </c:pt>
                <c:pt idx="6">
                  <c:v>132.71947843137252</c:v>
                </c:pt>
                <c:pt idx="7">
                  <c:v>132.71947843137252</c:v>
                </c:pt>
                <c:pt idx="8">
                  <c:v>132.71947843137252</c:v>
                </c:pt>
                <c:pt idx="9">
                  <c:v>132.71947843137252</c:v>
                </c:pt>
                <c:pt idx="10">
                  <c:v>132.71947843137252</c:v>
                </c:pt>
                <c:pt idx="11">
                  <c:v>132.71947843137252</c:v>
                </c:pt>
                <c:pt idx="12">
                  <c:v>132.71947843137252</c:v>
                </c:pt>
                <c:pt idx="13">
                  <c:v>132.71947843137252</c:v>
                </c:pt>
                <c:pt idx="14">
                  <c:v>132.71947843137252</c:v>
                </c:pt>
                <c:pt idx="15">
                  <c:v>132.71947843137252</c:v>
                </c:pt>
                <c:pt idx="16">
                  <c:v>132.71947843137252</c:v>
                </c:pt>
                <c:pt idx="17">
                  <c:v>132.71947843137252</c:v>
                </c:pt>
                <c:pt idx="18">
                  <c:v>132.71947843137252</c:v>
                </c:pt>
                <c:pt idx="19">
                  <c:v>132.71947843137252</c:v>
                </c:pt>
                <c:pt idx="20">
                  <c:v>132.71947843137252</c:v>
                </c:pt>
                <c:pt idx="21">
                  <c:v>132.71947843137252</c:v>
                </c:pt>
                <c:pt idx="22">
                  <c:v>132.71947843137252</c:v>
                </c:pt>
                <c:pt idx="23">
                  <c:v>132.71947843137252</c:v>
                </c:pt>
                <c:pt idx="24">
                  <c:v>132.71947843137252</c:v>
                </c:pt>
                <c:pt idx="25">
                  <c:v>132.71947843137252</c:v>
                </c:pt>
                <c:pt idx="26">
                  <c:v>132.71947843137252</c:v>
                </c:pt>
                <c:pt idx="27">
                  <c:v>132.71947843137252</c:v>
                </c:pt>
                <c:pt idx="28">
                  <c:v>132.71947843137252</c:v>
                </c:pt>
                <c:pt idx="29">
                  <c:v>132.71947843137252</c:v>
                </c:pt>
                <c:pt idx="30">
                  <c:v>132.71947843137252</c:v>
                </c:pt>
                <c:pt idx="31">
                  <c:v>132.71947843137252</c:v>
                </c:pt>
                <c:pt idx="32">
                  <c:v>132.71947843137252</c:v>
                </c:pt>
                <c:pt idx="33">
                  <c:v>132.71947843137252</c:v>
                </c:pt>
                <c:pt idx="34">
                  <c:v>132.71947843137252</c:v>
                </c:pt>
                <c:pt idx="35">
                  <c:v>132.71947843137252</c:v>
                </c:pt>
                <c:pt idx="36">
                  <c:v>132.71947843137252</c:v>
                </c:pt>
                <c:pt idx="37">
                  <c:v>132.71947843137252</c:v>
                </c:pt>
                <c:pt idx="38">
                  <c:v>132.71947843137252</c:v>
                </c:pt>
                <c:pt idx="39">
                  <c:v>132.71947843137252</c:v>
                </c:pt>
                <c:pt idx="40">
                  <c:v>132.71947843137252</c:v>
                </c:pt>
                <c:pt idx="41">
                  <c:v>132.71947843137252</c:v>
                </c:pt>
                <c:pt idx="42">
                  <c:v>132.71947843137252</c:v>
                </c:pt>
                <c:pt idx="43">
                  <c:v>132.71947843137252</c:v>
                </c:pt>
                <c:pt idx="44">
                  <c:v>132.71947843137252</c:v>
                </c:pt>
                <c:pt idx="45">
                  <c:v>132.71947843137252</c:v>
                </c:pt>
                <c:pt idx="46">
                  <c:v>132.71947843137252</c:v>
                </c:pt>
                <c:pt idx="47">
                  <c:v>132.71947843137252</c:v>
                </c:pt>
                <c:pt idx="48">
                  <c:v>132.71947843137252</c:v>
                </c:pt>
                <c:pt idx="49">
                  <c:v>132.71947843137252</c:v>
                </c:pt>
                <c:pt idx="50">
                  <c:v>132.71947843137252</c:v>
                </c:pt>
                <c:pt idx="51">
                  <c:v>132.71947843137252</c:v>
                </c:pt>
                <c:pt idx="52">
                  <c:v>132.71947843137252</c:v>
                </c:pt>
                <c:pt idx="53">
                  <c:v>132.71947843137252</c:v>
                </c:pt>
                <c:pt idx="54">
                  <c:v>132.71947843137252</c:v>
                </c:pt>
                <c:pt idx="55">
                  <c:v>132.71947843137252</c:v>
                </c:pt>
                <c:pt idx="56">
                  <c:v>132.71947843137252</c:v>
                </c:pt>
                <c:pt idx="57">
                  <c:v>132.71947843137252</c:v>
                </c:pt>
                <c:pt idx="58">
                  <c:v>132.71947843137252</c:v>
                </c:pt>
                <c:pt idx="59">
                  <c:v>132.71947843137252</c:v>
                </c:pt>
                <c:pt idx="60">
                  <c:v>132.71947843137252</c:v>
                </c:pt>
                <c:pt idx="61">
                  <c:v>132.71947843137252</c:v>
                </c:pt>
                <c:pt idx="62">
                  <c:v>132.71947843137252</c:v>
                </c:pt>
                <c:pt idx="63">
                  <c:v>132.71947843137252</c:v>
                </c:pt>
                <c:pt idx="64">
                  <c:v>132.71947843137252</c:v>
                </c:pt>
                <c:pt idx="65">
                  <c:v>132.71947843137252</c:v>
                </c:pt>
                <c:pt idx="66">
                  <c:v>132.71947843137252</c:v>
                </c:pt>
                <c:pt idx="67">
                  <c:v>132.71947843137252</c:v>
                </c:pt>
                <c:pt idx="68">
                  <c:v>132.71947843137252</c:v>
                </c:pt>
                <c:pt idx="69">
                  <c:v>132.71947843137252</c:v>
                </c:pt>
                <c:pt idx="70">
                  <c:v>132.71947843137252</c:v>
                </c:pt>
                <c:pt idx="71">
                  <c:v>132.71947843137252</c:v>
                </c:pt>
                <c:pt idx="72">
                  <c:v>132.71947843137252</c:v>
                </c:pt>
                <c:pt idx="73">
                  <c:v>132.71947843137252</c:v>
                </c:pt>
                <c:pt idx="74">
                  <c:v>132.71947843137252</c:v>
                </c:pt>
                <c:pt idx="75">
                  <c:v>132.71947843137252</c:v>
                </c:pt>
                <c:pt idx="76">
                  <c:v>132.71947843137252</c:v>
                </c:pt>
                <c:pt idx="77">
                  <c:v>132.71947843137252</c:v>
                </c:pt>
                <c:pt idx="78">
                  <c:v>132.71947843137252</c:v>
                </c:pt>
                <c:pt idx="79">
                  <c:v>132.71947843137252</c:v>
                </c:pt>
                <c:pt idx="80">
                  <c:v>132.71947843137252</c:v>
                </c:pt>
                <c:pt idx="81">
                  <c:v>132.71947843137252</c:v>
                </c:pt>
                <c:pt idx="82">
                  <c:v>132.71947843137252</c:v>
                </c:pt>
                <c:pt idx="83">
                  <c:v>132.71947843137252</c:v>
                </c:pt>
                <c:pt idx="84">
                  <c:v>132.71947843137252</c:v>
                </c:pt>
                <c:pt idx="85">
                  <c:v>132.71947843137252</c:v>
                </c:pt>
                <c:pt idx="86">
                  <c:v>132.71947843137252</c:v>
                </c:pt>
                <c:pt idx="87">
                  <c:v>132.71947843137252</c:v>
                </c:pt>
                <c:pt idx="88">
                  <c:v>132.71947843137252</c:v>
                </c:pt>
                <c:pt idx="89">
                  <c:v>132.71947843137252</c:v>
                </c:pt>
                <c:pt idx="90">
                  <c:v>132.71947843137252</c:v>
                </c:pt>
                <c:pt idx="91">
                  <c:v>132.71947843137252</c:v>
                </c:pt>
                <c:pt idx="92">
                  <c:v>132.71947843137252</c:v>
                </c:pt>
                <c:pt idx="93">
                  <c:v>132.71947843137252</c:v>
                </c:pt>
                <c:pt idx="94">
                  <c:v>132.71947843137252</c:v>
                </c:pt>
                <c:pt idx="95">
                  <c:v>132.71947843137252</c:v>
                </c:pt>
                <c:pt idx="96">
                  <c:v>132.71947843137252</c:v>
                </c:pt>
                <c:pt idx="97">
                  <c:v>132.71947843137252</c:v>
                </c:pt>
                <c:pt idx="98">
                  <c:v>132.71947843137252</c:v>
                </c:pt>
                <c:pt idx="99">
                  <c:v>132.71947843137252</c:v>
                </c:pt>
              </c:numCache>
            </c:numRef>
          </c:val>
          <c:smooth val="0"/>
          <c:extLst xmlns:c16r2="http://schemas.microsoft.com/office/drawing/2015/06/chart">
            <c:ext xmlns:c16="http://schemas.microsoft.com/office/drawing/2014/chart" uri="{C3380CC4-5D6E-409C-BE32-E72D297353CC}">
              <c16:uniqueId val="{00000003-6C6A-4E90-B517-7ABC67C75B62}"/>
            </c:ext>
          </c:extLst>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53.087791372549013</c:v>
                </c:pt>
                <c:pt idx="1">
                  <c:v>53.087791372549013</c:v>
                </c:pt>
                <c:pt idx="2">
                  <c:v>53.087791372549013</c:v>
                </c:pt>
                <c:pt idx="3">
                  <c:v>53.087791372549013</c:v>
                </c:pt>
                <c:pt idx="4">
                  <c:v>53.087791372549013</c:v>
                </c:pt>
                <c:pt idx="5">
                  <c:v>53.087791372549013</c:v>
                </c:pt>
                <c:pt idx="6">
                  <c:v>53.087791372549013</c:v>
                </c:pt>
                <c:pt idx="7">
                  <c:v>53.087791372549013</c:v>
                </c:pt>
                <c:pt idx="8">
                  <c:v>53.087791372549013</c:v>
                </c:pt>
                <c:pt idx="9">
                  <c:v>53.087791372549013</c:v>
                </c:pt>
                <c:pt idx="10">
                  <c:v>53.087791372549013</c:v>
                </c:pt>
                <c:pt idx="11">
                  <c:v>53.087791372549013</c:v>
                </c:pt>
                <c:pt idx="12">
                  <c:v>53.087791372549013</c:v>
                </c:pt>
                <c:pt idx="13">
                  <c:v>53.087791372549013</c:v>
                </c:pt>
                <c:pt idx="14">
                  <c:v>53.087791372549013</c:v>
                </c:pt>
                <c:pt idx="15">
                  <c:v>53.087791372549013</c:v>
                </c:pt>
                <c:pt idx="16">
                  <c:v>53.087791372549013</c:v>
                </c:pt>
                <c:pt idx="17">
                  <c:v>53.087791372549013</c:v>
                </c:pt>
                <c:pt idx="18">
                  <c:v>53.087791372549013</c:v>
                </c:pt>
                <c:pt idx="19">
                  <c:v>53.087791372549013</c:v>
                </c:pt>
                <c:pt idx="20">
                  <c:v>53.087791372549013</c:v>
                </c:pt>
                <c:pt idx="21">
                  <c:v>53.087791372549013</c:v>
                </c:pt>
                <c:pt idx="22">
                  <c:v>53.087791372549013</c:v>
                </c:pt>
                <c:pt idx="23">
                  <c:v>53.087791372549013</c:v>
                </c:pt>
                <c:pt idx="24">
                  <c:v>53.087791372549013</c:v>
                </c:pt>
                <c:pt idx="25">
                  <c:v>53.087791372549013</c:v>
                </c:pt>
                <c:pt idx="26">
                  <c:v>53.087791372549013</c:v>
                </c:pt>
                <c:pt idx="27">
                  <c:v>53.087791372549013</c:v>
                </c:pt>
                <c:pt idx="28">
                  <c:v>53.087791372549013</c:v>
                </c:pt>
                <c:pt idx="29">
                  <c:v>53.087791372549013</c:v>
                </c:pt>
                <c:pt idx="30">
                  <c:v>53.087791372549013</c:v>
                </c:pt>
                <c:pt idx="31">
                  <c:v>53.087791372549013</c:v>
                </c:pt>
                <c:pt idx="32">
                  <c:v>53.087791372549013</c:v>
                </c:pt>
                <c:pt idx="33">
                  <c:v>53.087791372549013</c:v>
                </c:pt>
                <c:pt idx="34">
                  <c:v>53.087791372549013</c:v>
                </c:pt>
                <c:pt idx="35">
                  <c:v>53.087791372549013</c:v>
                </c:pt>
                <c:pt idx="36">
                  <c:v>53.087791372549013</c:v>
                </c:pt>
                <c:pt idx="37">
                  <c:v>53.087791372549013</c:v>
                </c:pt>
                <c:pt idx="38">
                  <c:v>53.087791372549013</c:v>
                </c:pt>
                <c:pt idx="39">
                  <c:v>53.087791372549013</c:v>
                </c:pt>
                <c:pt idx="40">
                  <c:v>53.087791372549013</c:v>
                </c:pt>
                <c:pt idx="41">
                  <c:v>53.087791372549013</c:v>
                </c:pt>
                <c:pt idx="42">
                  <c:v>53.087791372549013</c:v>
                </c:pt>
                <c:pt idx="43">
                  <c:v>53.087791372549013</c:v>
                </c:pt>
                <c:pt idx="44">
                  <c:v>53.087791372549013</c:v>
                </c:pt>
                <c:pt idx="45">
                  <c:v>53.087791372549013</c:v>
                </c:pt>
                <c:pt idx="46">
                  <c:v>53.087791372549013</c:v>
                </c:pt>
                <c:pt idx="47">
                  <c:v>53.087791372549013</c:v>
                </c:pt>
                <c:pt idx="48">
                  <c:v>53.087791372549013</c:v>
                </c:pt>
                <c:pt idx="49">
                  <c:v>53.087791372549013</c:v>
                </c:pt>
                <c:pt idx="50">
                  <c:v>53.087791372549013</c:v>
                </c:pt>
                <c:pt idx="51">
                  <c:v>53.087791372549013</c:v>
                </c:pt>
                <c:pt idx="52">
                  <c:v>53.087791372549013</c:v>
                </c:pt>
                <c:pt idx="53">
                  <c:v>53.087791372549013</c:v>
                </c:pt>
                <c:pt idx="54">
                  <c:v>53.087791372549013</c:v>
                </c:pt>
                <c:pt idx="55">
                  <c:v>53.087791372549013</c:v>
                </c:pt>
                <c:pt idx="56">
                  <c:v>53.087791372549013</c:v>
                </c:pt>
                <c:pt idx="57">
                  <c:v>53.087791372549013</c:v>
                </c:pt>
                <c:pt idx="58">
                  <c:v>53.087791372549013</c:v>
                </c:pt>
                <c:pt idx="59">
                  <c:v>53.087791372549013</c:v>
                </c:pt>
                <c:pt idx="60">
                  <c:v>53.087791372549013</c:v>
                </c:pt>
                <c:pt idx="61">
                  <c:v>53.087791372549013</c:v>
                </c:pt>
                <c:pt idx="62">
                  <c:v>53.087791372549013</c:v>
                </c:pt>
                <c:pt idx="63">
                  <c:v>53.087791372549013</c:v>
                </c:pt>
                <c:pt idx="64">
                  <c:v>53.087791372549013</c:v>
                </c:pt>
                <c:pt idx="65">
                  <c:v>53.087791372549013</c:v>
                </c:pt>
                <c:pt idx="66">
                  <c:v>53.087791372549013</c:v>
                </c:pt>
                <c:pt idx="67">
                  <c:v>53.087791372549013</c:v>
                </c:pt>
                <c:pt idx="68">
                  <c:v>53.087791372549013</c:v>
                </c:pt>
                <c:pt idx="69">
                  <c:v>53.087791372549013</c:v>
                </c:pt>
                <c:pt idx="70">
                  <c:v>53.087791372549013</c:v>
                </c:pt>
                <c:pt idx="71">
                  <c:v>53.087791372549013</c:v>
                </c:pt>
                <c:pt idx="72">
                  <c:v>53.087791372549013</c:v>
                </c:pt>
                <c:pt idx="73">
                  <c:v>53.087791372549013</c:v>
                </c:pt>
                <c:pt idx="74">
                  <c:v>53.087791372549013</c:v>
                </c:pt>
                <c:pt idx="75">
                  <c:v>53.087791372549013</c:v>
                </c:pt>
                <c:pt idx="76">
                  <c:v>53.087791372549013</c:v>
                </c:pt>
                <c:pt idx="77">
                  <c:v>53.087791372549013</c:v>
                </c:pt>
                <c:pt idx="78">
                  <c:v>53.087791372549013</c:v>
                </c:pt>
                <c:pt idx="79">
                  <c:v>53.087791372549013</c:v>
                </c:pt>
                <c:pt idx="80">
                  <c:v>53.087791372549013</c:v>
                </c:pt>
                <c:pt idx="81">
                  <c:v>53.087791372549013</c:v>
                </c:pt>
                <c:pt idx="82">
                  <c:v>53.087791372549013</c:v>
                </c:pt>
                <c:pt idx="83">
                  <c:v>53.087791372549013</c:v>
                </c:pt>
                <c:pt idx="84">
                  <c:v>53.087791372549013</c:v>
                </c:pt>
                <c:pt idx="85">
                  <c:v>53.087791372549013</c:v>
                </c:pt>
                <c:pt idx="86">
                  <c:v>53.087791372549013</c:v>
                </c:pt>
                <c:pt idx="87">
                  <c:v>53.087791372549013</c:v>
                </c:pt>
                <c:pt idx="88">
                  <c:v>53.087791372549013</c:v>
                </c:pt>
                <c:pt idx="89">
                  <c:v>53.087791372549013</c:v>
                </c:pt>
                <c:pt idx="90">
                  <c:v>53.087791372549013</c:v>
                </c:pt>
                <c:pt idx="91">
                  <c:v>53.087791372549013</c:v>
                </c:pt>
                <c:pt idx="92">
                  <c:v>53.087791372549013</c:v>
                </c:pt>
                <c:pt idx="93">
                  <c:v>53.087791372549013</c:v>
                </c:pt>
                <c:pt idx="94">
                  <c:v>53.087791372549013</c:v>
                </c:pt>
                <c:pt idx="95">
                  <c:v>53.087791372549013</c:v>
                </c:pt>
                <c:pt idx="96">
                  <c:v>53.087791372549013</c:v>
                </c:pt>
                <c:pt idx="97">
                  <c:v>53.087791372549013</c:v>
                </c:pt>
                <c:pt idx="98">
                  <c:v>53.087791372549013</c:v>
                </c:pt>
                <c:pt idx="99">
                  <c:v>53.087791372549013</c:v>
                </c:pt>
              </c:numCache>
            </c:numRef>
          </c:val>
          <c:smooth val="0"/>
          <c:extLst xmlns:c16r2="http://schemas.microsoft.com/office/drawing/2015/06/chart">
            <c:ext xmlns:c16="http://schemas.microsoft.com/office/drawing/2014/chart" uri="{C3380CC4-5D6E-409C-BE32-E72D297353CC}">
              <c16:uniqueId val="{00000004-6C6A-4E90-B517-7ABC67C75B62}"/>
            </c:ext>
          </c:extLst>
        </c:ser>
        <c:dLbls>
          <c:showLegendKey val="0"/>
          <c:showVal val="0"/>
          <c:showCatName val="0"/>
          <c:showSerName val="0"/>
          <c:showPercent val="0"/>
          <c:showBubbleSize val="0"/>
        </c:dLbls>
        <c:marker val="1"/>
        <c:smooth val="0"/>
        <c:axId val="526555120"/>
        <c:axId val="526555680"/>
      </c:lineChart>
      <c:catAx>
        <c:axId val="526555120"/>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526555680"/>
        <c:crosses val="autoZero"/>
        <c:auto val="1"/>
        <c:lblAlgn val="ctr"/>
        <c:lblOffset val="500"/>
        <c:tickLblSkip val="5"/>
        <c:noMultiLvlLbl val="0"/>
      </c:catAx>
      <c:valAx>
        <c:axId val="5265556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526555120"/>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55"/>
          <c:y val="0.11959043821134269"/>
          <c:w val="0.44341440394699638"/>
          <c:h val="0.81873157332557589"/>
        </c:manualLayout>
      </c:layout>
      <c:barChart>
        <c:barDir val="bar"/>
        <c:grouping val="clustered"/>
        <c:varyColors val="0"/>
        <c:ser>
          <c:idx val="0"/>
          <c:order val="0"/>
          <c:tx>
            <c:strRef>
              <c:f>'Экономический расчет'!$P$4</c:f>
              <c:strCache>
                <c:ptCount val="1"/>
                <c:pt idx="0">
                  <c:v>Экономия в руб.</c:v>
                </c:pt>
              </c:strCache>
            </c:strRef>
          </c:tx>
          <c:spPr>
            <a:ln>
              <a:noFill/>
            </a:ln>
          </c:spPr>
          <c:invertIfNegative val="0"/>
          <c:val>
            <c:numRef>
              <c:f>'Экономический расчет'!$P$5:$P$29</c:f>
              <c:numCache>
                <c:formatCode>0%</c:formatCode>
                <c:ptCount val="25"/>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xmlns:c16r2="http://schemas.microsoft.com/office/drawing/2015/06/chart">
            <c:ext xmlns:c16="http://schemas.microsoft.com/office/drawing/2014/chart" uri="{C3380CC4-5D6E-409C-BE32-E72D297353CC}">
              <c16:uniqueId val="{00000000-D994-4A84-9BEA-026E8C6C5ACC}"/>
            </c:ext>
            <c:ext xmlns:c15="http://schemas.microsoft.com/office/drawing/2012/chart" uri="{02D57815-91ED-43cb-92C2-25804820EDAC}">
              <c15:filteredCategoryTitle>
                <c15:cat>
                  <c:strRef>
                    <c:extLst xmlns:c16r2="http://schemas.microsoft.com/office/drawing/2015/06/chart">
                      <c:ext uri="{02D57815-91ED-43cb-92C2-25804820EDAC}">
                        <c15:formulaRef>
                          <c15:sqref>'Экономический расчет'!$O$5:$O$29</c15:sqref>
                        </c15:formulaRef>
                      </c:ext>
                    </c:extLst>
                    <c:strCache>
                      <c:ptCount val="9"/>
                      <c:pt idx="8">
                        <c:v>Установка узлов управления</c:v>
                      </c:pt>
                    </c:strCache>
                  </c:strRef>
                </c15:cat>
              </c15:filteredCategoryTitle>
            </c:ext>
          </c:extLst>
        </c:ser>
        <c:dLbls>
          <c:showLegendKey val="0"/>
          <c:showVal val="0"/>
          <c:showCatName val="0"/>
          <c:showSerName val="0"/>
          <c:showPercent val="0"/>
          <c:showBubbleSize val="0"/>
        </c:dLbls>
        <c:gapWidth val="182"/>
        <c:axId val="526558480"/>
        <c:axId val="525252816"/>
      </c:barChart>
      <c:catAx>
        <c:axId val="526558480"/>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525252816"/>
        <c:crosses val="autoZero"/>
        <c:auto val="0"/>
        <c:lblAlgn val="ctr"/>
        <c:lblOffset val="100"/>
        <c:noMultiLvlLbl val="0"/>
      </c:catAx>
      <c:valAx>
        <c:axId val="525252816"/>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526558480"/>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71507156554449025"/>
          <c:y val="0.11959043821134269"/>
          <c:w val="0.24974581746189314"/>
          <c:h val="0.81873157332557589"/>
        </c:manualLayout>
      </c:layout>
      <c:barChart>
        <c:barDir val="bar"/>
        <c:grouping val="clustered"/>
        <c:varyColors val="0"/>
        <c:ser>
          <c:idx val="1"/>
          <c:order val="0"/>
          <c:invertIfNegative val="0"/>
          <c:val>
            <c:numRef>
              <c:f>'Экономический расчет'!$O$5:$O$29</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xmlns:c16r2="http://schemas.microsoft.com/office/drawing/2015/06/chart">
            <c:ext xmlns:c16="http://schemas.microsoft.com/office/drawing/2014/chart" uri="{C3380CC4-5D6E-409C-BE32-E72D297353CC}">
              <c16:uniqueId val="{00000000-D414-48B9-8CF6-79C23925735E}"/>
            </c:ext>
            <c:ext xmlns:c15="http://schemas.microsoft.com/office/drawing/2012/chart" uri="{02D57815-91ED-43cb-92C2-25804820EDAC}">
              <c15:filteredCategoryTitle>
                <c15:cat>
                  <c:strRef>
                    <c:extLst xmlns:c16r2="http://schemas.microsoft.com/office/drawing/2015/06/chart">
                      <c:ext uri="{02D57815-91ED-43cb-92C2-25804820EDAC}">
                        <c15:formulaRef>
                          <c15:sqref>'Экономический расчет'!$O$5:$O$29</c15:sqref>
                        </c15:formulaRef>
                      </c:ext>
                    </c:extLst>
                    <c:strCache>
                      <c:ptCount val="9"/>
                      <c:pt idx="8">
                        <c:v>Установка узлов управления</c:v>
                      </c:pt>
                    </c:strCache>
                  </c:strRef>
                </c15:cat>
              </c15:filteredCategoryTitle>
            </c:ext>
          </c:extLst>
        </c:ser>
        <c:dLbls>
          <c:showLegendKey val="0"/>
          <c:showVal val="0"/>
          <c:showCatName val="0"/>
          <c:showSerName val="0"/>
          <c:showPercent val="0"/>
          <c:showBubbleSize val="0"/>
        </c:dLbls>
        <c:gapWidth val="182"/>
        <c:axId val="525255056"/>
        <c:axId val="525255616"/>
      </c:barChart>
      <c:catAx>
        <c:axId val="525255056"/>
        <c:scaling>
          <c:orientation val="minMax"/>
        </c:scaling>
        <c:delete val="0"/>
        <c:axPos val="l"/>
        <c:numFmt formatCode="@"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525255616"/>
        <c:crosses val="autoZero"/>
        <c:auto val="0"/>
        <c:lblAlgn val="ctr"/>
        <c:lblOffset val="100"/>
        <c:noMultiLvlLbl val="0"/>
      </c:catAx>
      <c:valAx>
        <c:axId val="525255616"/>
        <c:scaling>
          <c:orientation val="minMax"/>
          <c:max val="1"/>
          <c:min val="0"/>
        </c:scaling>
        <c:delete val="1"/>
        <c:axPos val="b"/>
        <c:numFmt formatCode="General" sourceLinked="1"/>
        <c:majorTickMark val="out"/>
        <c:minorTickMark val="none"/>
        <c:tickLblPos val="nextTo"/>
        <c:crossAx val="525255056"/>
        <c:crosses val="autoZero"/>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532.66986493490651</c:v>
                </c:pt>
                <c:pt idx="1">
                  <c:v>278.10000000000002</c:v>
                </c:pt>
                <c:pt idx="2">
                  <c:v>481.12116832830259</c:v>
                </c:pt>
                <c:pt idx="3">
                  <c:v>250.9</c:v>
                </c:pt>
                <c:pt idx="4">
                  <c:v>532.66986493490651</c:v>
                </c:pt>
                <c:pt idx="5">
                  <c:v>276.8</c:v>
                </c:pt>
                <c:pt idx="6">
                  <c:v>515.48696606603858</c:v>
                </c:pt>
                <c:pt idx="7">
                  <c:v>254.2</c:v>
                </c:pt>
                <c:pt idx="8">
                  <c:v>479.40287844141585</c:v>
                </c:pt>
                <c:pt idx="9">
                  <c:v>287.60000000000002</c:v>
                </c:pt>
                <c:pt idx="10">
                  <c:v>463.93826945943482</c:v>
                </c:pt>
                <c:pt idx="11">
                  <c:v>251.9</c:v>
                </c:pt>
                <c:pt idx="12">
                  <c:v>278.36296167566087</c:v>
                </c:pt>
                <c:pt idx="13">
                  <c:v>123.9</c:v>
                </c:pt>
                <c:pt idx="14">
                  <c:v>479.40287844141585</c:v>
                </c:pt>
                <c:pt idx="15">
                  <c:v>205.9</c:v>
                </c:pt>
                <c:pt idx="16">
                  <c:v>463.93826945943482</c:v>
                </c:pt>
                <c:pt idx="17">
                  <c:v>240.5</c:v>
                </c:pt>
                <c:pt idx="18">
                  <c:v>532.66986493490651</c:v>
                </c:pt>
                <c:pt idx="19">
                  <c:v>288.89999999999998</c:v>
                </c:pt>
                <c:pt idx="20">
                  <c:v>515.48696606603858</c:v>
                </c:pt>
                <c:pt idx="21">
                  <c:v>317.10000000000002</c:v>
                </c:pt>
                <c:pt idx="22">
                  <c:v>532.66986493490651</c:v>
                </c:pt>
                <c:pt idx="23">
                  <c:v>307.39999999999998</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525258416"/>
        <c:axId val="525258976"/>
      </c:barChart>
      <c:catAx>
        <c:axId val="525258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525258976"/>
        <c:crosses val="autoZero"/>
        <c:auto val="1"/>
        <c:lblAlgn val="ctr"/>
        <c:lblOffset val="100"/>
        <c:noMultiLvlLbl val="0"/>
      </c:catAx>
      <c:valAx>
        <c:axId val="525258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525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(расчетно-нормативный)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877502.26333721587</c:v>
                </c:pt>
                <c:pt idx="1">
                  <c:v>467619.70554208959</c:v>
                </c:pt>
                <c:pt idx="2">
                  <c:v>2394</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1062027.1770000001</c:v>
                </c:pt>
                <c:pt idx="1">
                  <c:v>494927.44299999997</c:v>
                </c:pt>
                <c:pt idx="2">
                  <c:v>22856</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b="0" i="0" u="none" strike="noStrike" kern="1200" spc="0" baseline="0">
                <a:solidFill>
                  <a:schemeClr val="tx1">
                    <a:lumMod val="65000"/>
                    <a:lumOff val="35000"/>
                  </a:schemeClr>
                </a:solidFill>
                <a:latin typeface="+mn-lt"/>
                <a:ea typeface="+mn-ea"/>
                <a:cs typeface="+mn-cs"/>
              </a:defRPr>
            </a:pPr>
            <a:r>
              <a:rPr lang="ru-RU" sz="1200"/>
              <a:t> (расчетно-нормативные)</a:t>
            </a:r>
          </a:p>
        </c:rich>
      </c:tx>
      <c:overlay val="0"/>
      <c:spPr>
        <a:noFill/>
        <a:ln>
          <a:noFill/>
        </a:ln>
        <a:effectLst/>
      </c:sp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547094.32020619023</c:v>
                </c:pt>
                <c:pt idx="1">
                  <c:v>364994.46531346982</c:v>
                </c:pt>
                <c:pt idx="2">
                  <c:v>100951.58781755572</c:v>
                </c:pt>
                <c:pt idx="3" formatCode="0.0">
                  <c:v>135538.11000000002</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A3E1-4358-BBC6-10D376EEDC59}"/>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2394</c:v>
                </c:pt>
                <c:pt idx="1">
                  <c:v>1</c:v>
                </c:pt>
                <c:pt idx="2" formatCode="0.00">
                  <c:v>2394</c:v>
                </c:pt>
                <c:pt idx="3" formatCode="0.00">
                  <c:v>0</c:v>
                </c:pt>
                <c:pt idx="4" formatCode="0">
                  <c:v>0</c:v>
                </c:pt>
                <c:pt idx="5">
                  <c:v>0</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(расчетно-нормативный)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852342.17285386636</c:v>
                </c:pt>
                <c:pt idx="1">
                  <c:v>23991.528511100008</c:v>
                </c:pt>
                <c:pt idx="2">
                  <c:v>494927.44300000003</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1062027.1770000001</c:v>
                </c:pt>
                <c:pt idx="1">
                  <c:v>22856</c:v>
                </c:pt>
                <c:pt idx="2">
                  <c:v>494927.44299999997</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385-4425-A587-317CBC863028}"/>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9385-4425-A587-317CBC863028}"/>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9385-4425-A587-317CBC863028}"/>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9385-4425-A587-317CBC863028}"/>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9385-4425-A587-317CBC863028}"/>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9385-4425-A587-317CBC863028}"/>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9385-4425-A587-317CBC863028}"/>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9385-4425-A587-317CBC863028}"/>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8-9385-4425-A587-317CBC863028}"/>
            </c:ext>
          </c:extLst>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9385-4425-A587-317CBC863028}"/>
            </c:ext>
          </c:extLst>
        </c:ser>
        <c:dLbls>
          <c:showLegendKey val="0"/>
          <c:showVal val="0"/>
          <c:showCatName val="0"/>
          <c:showSerName val="0"/>
          <c:showPercent val="0"/>
          <c:showBubbleSize val="0"/>
        </c:dLbls>
        <c:gapWidth val="0"/>
        <c:overlap val="100"/>
        <c:axId val="400853072"/>
        <c:axId val="40085251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A-9385-4425-A587-317CBC863028}"/>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extLst xmlns:c16r2="http://schemas.microsoft.com/office/drawing/2015/06/chart">
            <c:ext xmlns:c16="http://schemas.microsoft.com/office/drawing/2014/chart" uri="{C3380CC4-5D6E-409C-BE32-E72D297353CC}">
              <c16:uniqueId val="{0000000B-9385-4425-A587-317CBC863028}"/>
            </c:ext>
          </c:extLst>
        </c:ser>
        <c:dLbls>
          <c:showLegendKey val="0"/>
          <c:showVal val="0"/>
          <c:showCatName val="0"/>
          <c:showSerName val="0"/>
          <c:showPercent val="0"/>
          <c:showBubbleSize val="0"/>
        </c:dLbls>
        <c:marker val="1"/>
        <c:smooth val="0"/>
        <c:axId val="400853072"/>
        <c:axId val="400852512"/>
      </c:lineChart>
      <c:catAx>
        <c:axId val="40085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00852512"/>
        <c:crosses val="autoZero"/>
        <c:auto val="1"/>
        <c:lblAlgn val="ctr"/>
        <c:lblOffset val="500"/>
        <c:tickLblSkip val="5"/>
        <c:tickMarkSkip val="10"/>
        <c:noMultiLvlLbl val="0"/>
      </c:catAx>
      <c:valAx>
        <c:axId val="4008525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00853072"/>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b="0" i="0" u="none" strike="noStrike" kern="1200" spc="0" baseline="0">
                <a:solidFill>
                  <a:schemeClr val="tx1">
                    <a:lumMod val="65000"/>
                    <a:lumOff val="35000"/>
                  </a:schemeClr>
                </a:solidFill>
                <a:latin typeface="+mn-lt"/>
                <a:ea typeface="+mn-ea"/>
                <a:cs typeface="+mn-cs"/>
              </a:defRPr>
            </a:pPr>
            <a:r>
              <a:rPr lang="ru-RU" sz="1200"/>
              <a:t> (расчетно-нормативные)</a:t>
            </a:r>
          </a:p>
        </c:rich>
      </c:tx>
      <c:overlay val="0"/>
      <c:spPr>
        <a:noFill/>
        <a:ln>
          <a:noFill/>
        </a:ln>
        <a:effectLst/>
      </c:sp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533677.9941315914</c:v>
                </c:pt>
                <c:pt idx="1">
                  <c:v>356145.22458864417</c:v>
                </c:pt>
                <c:pt idx="2">
                  <c:v>98057.064133630556</c:v>
                </c:pt>
                <c:pt idx="3" formatCode="0.0">
                  <c:v>135538.11000000002</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779B-487D-998B-6E37D2435189}"/>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22856</c:v>
                </c:pt>
                <c:pt idx="1">
                  <c:v>22856</c:v>
                </c:pt>
                <c:pt idx="2">
                  <c:v>0</c:v>
                </c:pt>
                <c:pt idx="3" formatCode="0%">
                  <c:v>0</c:v>
                </c:pt>
                <c:pt idx="4">
                  <c:v>0</c:v>
                </c:pt>
                <c:pt idx="5" formatCode="0%">
                  <c:v>0</c:v>
                </c:pt>
                <c:pt idx="6">
                  <c:v>1135.5285111000082</c:v>
                </c:pt>
                <c:pt idx="7" formatCode="0%">
                  <c:v>0</c:v>
                </c:pt>
                <c:pt idx="8" formatCode="0.0">
                  <c:v>1135.5285111000082</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527588816"/>
        <c:axId val="527589376"/>
      </c:scatterChart>
      <c:valAx>
        <c:axId val="527588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7589376"/>
        <c:crosses val="autoZero"/>
        <c:crossBetween val="midCat"/>
      </c:valAx>
      <c:valAx>
        <c:axId val="527589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75888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527591616"/>
        <c:axId val="527592176"/>
      </c:scatterChart>
      <c:valAx>
        <c:axId val="527591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7592176"/>
        <c:crosses val="autoZero"/>
        <c:crossBetween val="midCat"/>
      </c:valAx>
      <c:valAx>
        <c:axId val="527592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7591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DEE9-4C19-9E3F-0B79725EED2B}"/>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DEE9-4C19-9E3F-0B79725EED2B}"/>
            </c:ext>
          </c:extLst>
        </c:ser>
        <c:dLbls>
          <c:showLegendKey val="0"/>
          <c:showVal val="0"/>
          <c:showCatName val="0"/>
          <c:showSerName val="0"/>
          <c:showPercent val="0"/>
          <c:showBubbleSize val="0"/>
        </c:dLbls>
        <c:gapWidth val="0"/>
        <c:overlap val="100"/>
        <c:axId val="395839776"/>
        <c:axId val="39583865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2-DEE9-4C19-9E3F-0B79725EED2B}"/>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3-DEE9-4C19-9E3F-0B79725EED2B}"/>
            </c:ext>
          </c:extLst>
        </c:ser>
        <c:dLbls>
          <c:showLegendKey val="0"/>
          <c:showVal val="0"/>
          <c:showCatName val="0"/>
          <c:showSerName val="0"/>
          <c:showPercent val="0"/>
          <c:showBubbleSize val="0"/>
        </c:dLbls>
        <c:marker val="1"/>
        <c:smooth val="0"/>
        <c:axId val="395839776"/>
        <c:axId val="395838656"/>
      </c:lineChart>
      <c:catAx>
        <c:axId val="3958397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5838656"/>
        <c:crosses val="autoZero"/>
        <c:auto val="1"/>
        <c:lblAlgn val="ctr"/>
        <c:lblOffset val="500"/>
        <c:tickLblSkip val="5"/>
        <c:noMultiLvlLbl val="0"/>
      </c:catAx>
      <c:valAx>
        <c:axId val="39583865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5839776"/>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246-4BD3-A028-C60BD6EB7A12}"/>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B246-4BD3-A028-C60BD6EB7A12}"/>
            </c:ext>
          </c:extLst>
        </c:ser>
        <c:dLbls>
          <c:showLegendKey val="0"/>
          <c:showVal val="0"/>
          <c:showCatName val="0"/>
          <c:showSerName val="0"/>
          <c:showPercent val="0"/>
          <c:showBubbleSize val="0"/>
        </c:dLbls>
        <c:gapWidth val="0"/>
        <c:overlap val="100"/>
        <c:axId val="395841456"/>
        <c:axId val="39583529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2-B246-4BD3-A028-C60BD6EB7A12}"/>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3-B246-4BD3-A028-C60BD6EB7A12}"/>
            </c:ext>
          </c:extLst>
        </c:ser>
        <c:dLbls>
          <c:showLegendKey val="0"/>
          <c:showVal val="0"/>
          <c:showCatName val="0"/>
          <c:showSerName val="0"/>
          <c:showPercent val="0"/>
          <c:showBubbleSize val="0"/>
        </c:dLbls>
        <c:marker val="1"/>
        <c:smooth val="0"/>
        <c:axId val="395841456"/>
        <c:axId val="395835296"/>
      </c:lineChart>
      <c:catAx>
        <c:axId val="395841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5835296"/>
        <c:crosses val="autoZero"/>
        <c:auto val="1"/>
        <c:lblAlgn val="ctr"/>
        <c:lblOffset val="500"/>
        <c:tickLblSkip val="5"/>
        <c:noMultiLvlLbl val="0"/>
      </c:catAx>
      <c:valAx>
        <c:axId val="39583529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5841456"/>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82E-46F5-9681-3EF400FF9CB0}"/>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282E-46F5-9681-3EF400FF9CB0}"/>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282E-46F5-9681-3EF400FF9CB0}"/>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282E-46F5-9681-3EF400FF9CB0}"/>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282E-46F5-9681-3EF400FF9CB0}"/>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282E-46F5-9681-3EF400FF9CB0}"/>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282E-46F5-9681-3EF400FF9CB0}"/>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282E-46F5-9681-3EF400FF9CB0}"/>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8-282E-46F5-9681-3EF400FF9CB0}"/>
            </c:ext>
          </c:extLst>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282E-46F5-9681-3EF400FF9CB0}"/>
            </c:ext>
          </c:extLst>
        </c:ser>
        <c:dLbls>
          <c:showLegendKey val="0"/>
          <c:showVal val="0"/>
          <c:showCatName val="0"/>
          <c:showSerName val="0"/>
          <c:showPercent val="0"/>
          <c:showBubbleSize val="0"/>
        </c:dLbls>
        <c:gapWidth val="0"/>
        <c:overlap val="100"/>
        <c:axId val="403809744"/>
        <c:axId val="40381030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A-282E-46F5-9681-3EF400FF9CB0}"/>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extLst xmlns:c16r2="http://schemas.microsoft.com/office/drawing/2015/06/chart">
            <c:ext xmlns:c16="http://schemas.microsoft.com/office/drawing/2014/chart" uri="{C3380CC4-5D6E-409C-BE32-E72D297353CC}">
              <c16:uniqueId val="{0000000B-282E-46F5-9681-3EF400FF9CB0}"/>
            </c:ext>
          </c:extLst>
        </c:ser>
        <c:dLbls>
          <c:showLegendKey val="0"/>
          <c:showVal val="0"/>
          <c:showCatName val="0"/>
          <c:showSerName val="0"/>
          <c:showPercent val="0"/>
          <c:showBubbleSize val="0"/>
        </c:dLbls>
        <c:marker val="1"/>
        <c:smooth val="0"/>
        <c:axId val="403809744"/>
        <c:axId val="403810304"/>
      </c:lineChart>
      <c:catAx>
        <c:axId val="403809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403810304"/>
        <c:crosses val="autoZero"/>
        <c:auto val="1"/>
        <c:lblAlgn val="ctr"/>
        <c:lblOffset val="500"/>
        <c:tickLblSkip val="5"/>
        <c:tickMarkSkip val="10"/>
        <c:noMultiLvlLbl val="0"/>
      </c:catAx>
      <c:valAx>
        <c:axId val="4038103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403809744"/>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E06-47BA-BC0E-617EFA925002}"/>
            </c:ext>
          </c:extLst>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CE06-47BA-BC0E-617EFA925002}"/>
            </c:ext>
          </c:extLst>
        </c:ser>
        <c:dLbls>
          <c:showLegendKey val="0"/>
          <c:showVal val="0"/>
          <c:showCatName val="0"/>
          <c:showSerName val="0"/>
          <c:showPercent val="0"/>
          <c:showBubbleSize val="0"/>
        </c:dLbls>
        <c:gapWidth val="0"/>
        <c:overlap val="100"/>
        <c:axId val="394021152"/>
        <c:axId val="39402171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2-CE06-47BA-BC0E-617EFA925002}"/>
            </c:ext>
          </c:extLst>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3-CE06-47BA-BC0E-617EFA925002}"/>
            </c:ext>
          </c:extLst>
        </c:ser>
        <c:dLbls>
          <c:showLegendKey val="0"/>
          <c:showVal val="0"/>
          <c:showCatName val="0"/>
          <c:showSerName val="0"/>
          <c:showPercent val="0"/>
          <c:showBubbleSize val="0"/>
        </c:dLbls>
        <c:marker val="1"/>
        <c:smooth val="0"/>
        <c:axId val="394021152"/>
        <c:axId val="394021712"/>
      </c:lineChart>
      <c:catAx>
        <c:axId val="394021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4021712"/>
        <c:crosses val="autoZero"/>
        <c:auto val="1"/>
        <c:lblAlgn val="ctr"/>
        <c:lblOffset val="500"/>
        <c:tickLblSkip val="5"/>
        <c:noMultiLvlLbl val="0"/>
      </c:catAx>
      <c:valAx>
        <c:axId val="3940217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4021152"/>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3AC-4E7B-AFCB-09706B672606}"/>
            </c:ext>
          </c:extLst>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E3AC-4E7B-AFCB-09706B672606}"/>
            </c:ext>
          </c:extLst>
        </c:ser>
        <c:dLbls>
          <c:showLegendKey val="0"/>
          <c:showVal val="0"/>
          <c:showCatName val="0"/>
          <c:showSerName val="0"/>
          <c:showPercent val="0"/>
          <c:showBubbleSize val="0"/>
        </c:dLbls>
        <c:gapWidth val="0"/>
        <c:overlap val="100"/>
        <c:axId val="392334288"/>
        <c:axId val="3923348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2-E3AC-4E7B-AFCB-09706B672606}"/>
            </c:ext>
          </c:extLst>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3-E3AC-4E7B-AFCB-09706B672606}"/>
            </c:ext>
          </c:extLst>
        </c:ser>
        <c:dLbls>
          <c:showLegendKey val="0"/>
          <c:showVal val="0"/>
          <c:showCatName val="0"/>
          <c:showSerName val="0"/>
          <c:showPercent val="0"/>
          <c:showBubbleSize val="0"/>
        </c:dLbls>
        <c:marker val="1"/>
        <c:smooth val="0"/>
        <c:axId val="392334288"/>
        <c:axId val="392334848"/>
      </c:lineChart>
      <c:catAx>
        <c:axId val="392334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334848"/>
        <c:crosses val="autoZero"/>
        <c:auto val="1"/>
        <c:lblAlgn val="ctr"/>
        <c:lblOffset val="500"/>
        <c:tickLblSkip val="5"/>
        <c:noMultiLvlLbl val="0"/>
      </c:catAx>
      <c:valAx>
        <c:axId val="3923348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334288"/>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F3D-4466-9154-652501853E97}"/>
            </c:ext>
          </c:extLst>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1-AF3D-4466-9154-652501853E97}"/>
            </c:ext>
          </c:extLst>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2-AF3D-4466-9154-652501853E97}"/>
            </c:ext>
          </c:extLst>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3-AF3D-4466-9154-652501853E97}"/>
            </c:ext>
          </c:extLst>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4-AF3D-4466-9154-652501853E97}"/>
            </c:ext>
          </c:extLst>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5-AF3D-4466-9154-652501853E97}"/>
            </c:ext>
          </c:extLst>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6-AF3D-4466-9154-652501853E97}"/>
            </c:ext>
          </c:extLst>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7-AF3D-4466-9154-652501853E97}"/>
            </c:ext>
          </c:extLst>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8-AF3D-4466-9154-652501853E97}"/>
            </c:ext>
          </c:extLst>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9-AF3D-4466-9154-652501853E97}"/>
            </c:ext>
          </c:extLst>
        </c:ser>
        <c:dLbls>
          <c:showLegendKey val="0"/>
          <c:showVal val="0"/>
          <c:showCatName val="0"/>
          <c:showSerName val="0"/>
          <c:showPercent val="0"/>
          <c:showBubbleSize val="0"/>
        </c:dLbls>
        <c:gapWidth val="0"/>
        <c:overlap val="100"/>
        <c:axId val="392975104"/>
        <c:axId val="39297566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xmlns:c16r2="http://schemas.microsoft.com/office/drawing/2015/06/chart">
            <c:ext xmlns:c16="http://schemas.microsoft.com/office/drawing/2014/chart" uri="{C3380CC4-5D6E-409C-BE32-E72D297353CC}">
              <c16:uniqueId val="{0000000A-AF3D-4466-9154-652501853E97}"/>
            </c:ext>
          </c:extLst>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extLst xmlns:c16r2="http://schemas.microsoft.com/office/drawing/2015/06/chart">
            <c:ext xmlns:c16="http://schemas.microsoft.com/office/drawing/2014/chart" uri="{C3380CC4-5D6E-409C-BE32-E72D297353CC}">
              <c16:uniqueId val="{0000000B-AF3D-4466-9154-652501853E97}"/>
            </c:ext>
          </c:extLst>
        </c:ser>
        <c:dLbls>
          <c:showLegendKey val="0"/>
          <c:showVal val="0"/>
          <c:showCatName val="0"/>
          <c:showSerName val="0"/>
          <c:showPercent val="0"/>
          <c:showBubbleSize val="0"/>
        </c:dLbls>
        <c:marker val="1"/>
        <c:smooth val="0"/>
        <c:axId val="392975104"/>
        <c:axId val="392975664"/>
      </c:lineChart>
      <c:catAx>
        <c:axId val="3929751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92975664"/>
        <c:crosses val="autoZero"/>
        <c:auto val="1"/>
        <c:lblAlgn val="ctr"/>
        <c:lblOffset val="500"/>
        <c:tickLblSkip val="5"/>
        <c:tickMarkSkip val="10"/>
        <c:noMultiLvlLbl val="0"/>
      </c:catAx>
      <c:valAx>
        <c:axId val="39297566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92975104"/>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trlProps/ctrlProp1.xml><?xml version="1.0" encoding="utf-8"?>
<formControlPr xmlns="http://schemas.microsoft.com/office/spreadsheetml/2009/9/main" objectType="CheckBox" fmlaLink="списки!$C$31" lockText="1"/>
</file>

<file path=xl/ctrlProps/ctrlProp10.xml><?xml version="1.0" encoding="utf-8"?>
<formControlPr xmlns="http://schemas.microsoft.com/office/spreadsheetml/2009/9/main" objectType="Radio"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checked="Checked" fmlaLink="'Система ГВС'!$G$17" lockText="1"/>
</file>

<file path=xl/ctrlProps/ctrlProp19.xml><?xml version="1.0" encoding="utf-8"?>
<formControlPr xmlns="http://schemas.microsoft.com/office/spreadsheetml/2009/9/main" objectType="CheckBox" checked="Checked"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checked="Checked"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checked="Checked" firstButton="1" fmlaLink="'Система ГВС'!$G$18"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checked="Checked" firstButton="1" fmlaLink="'Система отопления'!$B$30"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fmlaLink="'Система ГВС'!$G$16" lockText="1"/>
</file>

<file path=xl/ctrlProps/ctrlProp40.xml><?xml version="1.0" encoding="utf-8"?>
<formControlPr xmlns="http://schemas.microsoft.com/office/spreadsheetml/2009/9/main" objectType="Radio"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checked="Checked"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1.png"/><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a:extLst>
            <a:ext uri="{FF2B5EF4-FFF2-40B4-BE49-F238E27FC236}">
              <a16:creationId xmlns:a16="http://schemas.microsoft.com/office/drawing/2014/main" xmlns="" id="{00000000-0008-0000-01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a:extLst>
            <a:ext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a:extLst>
            <a:ext uri="{FF2B5EF4-FFF2-40B4-BE49-F238E27FC236}">
              <a16:creationId xmlns:a16="http://schemas.microsoft.com/office/drawing/2014/main" xmlns="" id="{00000000-0008-0000-0100-000006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a:extLst>
            <a:ext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a:extLst>
            <a:ext uri="{FF2B5EF4-FFF2-40B4-BE49-F238E27FC236}">
              <a16:creationId xmlns:a16="http://schemas.microsoft.com/office/drawing/2014/main" xmlns=""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a:extLst>
            <a:ext uri="{FF2B5EF4-FFF2-40B4-BE49-F238E27FC236}">
              <a16:creationId xmlns:a16="http://schemas.microsoft.com/office/drawing/2014/main" xmlns=""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a:extLst>
            <a:ext uri="{FF2B5EF4-FFF2-40B4-BE49-F238E27FC236}">
              <a16:creationId xmlns:a16="http://schemas.microsoft.com/office/drawing/2014/main" xmlns="" id="{00000000-0008-0000-0100-00000A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a:extLst>
            <a:ext uri="{FF2B5EF4-FFF2-40B4-BE49-F238E27FC236}">
              <a16:creationId xmlns:a16="http://schemas.microsoft.com/office/drawing/2014/main" xmlns="" id="{00000000-0008-0000-0100-00000B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a:extLst>
            <a:ext uri="{FF2B5EF4-FFF2-40B4-BE49-F238E27FC236}">
              <a16:creationId xmlns:a16="http://schemas.microsoft.com/office/drawing/2014/main" xmlns=""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a:extLst>
            <a:ext uri="{FF2B5EF4-FFF2-40B4-BE49-F238E27FC236}">
              <a16:creationId xmlns:a16="http://schemas.microsoft.com/office/drawing/2014/main" xmlns=""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a:extLst>
            <a:ext uri="{FF2B5EF4-FFF2-40B4-BE49-F238E27FC236}">
              <a16:creationId xmlns:a16="http://schemas.microsoft.com/office/drawing/2014/main" xmlns=""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a:extLst>
            <a:ext uri="{FF2B5EF4-FFF2-40B4-BE49-F238E27FC236}">
              <a16:creationId xmlns:a16="http://schemas.microsoft.com/office/drawing/2014/main" xmlns=""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a:extLst>
            <a:ext uri="{FF2B5EF4-FFF2-40B4-BE49-F238E27FC236}">
              <a16:creationId xmlns:a16="http://schemas.microsoft.com/office/drawing/2014/main" xmlns=""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a:extLst>
            <a:ext uri="{FF2B5EF4-FFF2-40B4-BE49-F238E27FC236}">
              <a16:creationId xmlns:a16="http://schemas.microsoft.com/office/drawing/2014/main" xmlns=""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a:extLst>
            <a:ext uri="{FF2B5EF4-FFF2-40B4-BE49-F238E27FC236}">
              <a16:creationId xmlns:a16="http://schemas.microsoft.com/office/drawing/2014/main" xmlns="" id="{00000000-0008-0000-0200-00002E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a:extLst>
            <a:ext uri="{FF2B5EF4-FFF2-40B4-BE49-F238E27FC236}">
              <a16:creationId xmlns:a16="http://schemas.microsoft.com/office/drawing/2014/main" xmlns="" id="{00000000-0008-0000-0200-000041000000}"/>
            </a:ext>
          </a:extLst>
        </xdr:cNvPr>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a:extLst>
            <a:ext uri="{FF2B5EF4-FFF2-40B4-BE49-F238E27FC236}">
              <a16:creationId xmlns:a16="http://schemas.microsoft.com/office/drawing/2014/main" xmlns=""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a:extLst>
            <a:ext uri="{FF2B5EF4-FFF2-40B4-BE49-F238E27FC236}">
              <a16:creationId xmlns:a16="http://schemas.microsoft.com/office/drawing/2014/main" xmlns=""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a:extLst>
            <a:ext uri="{FF2B5EF4-FFF2-40B4-BE49-F238E27FC236}">
              <a16:creationId xmlns:a16="http://schemas.microsoft.com/office/drawing/2014/main" xmlns="" id="{00000000-0008-0000-0200-000030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a:extLst>
            <a:ext uri="{FF2B5EF4-FFF2-40B4-BE49-F238E27FC236}">
              <a16:creationId xmlns:a16="http://schemas.microsoft.com/office/drawing/2014/main" xmlns="" id="{00000000-0008-0000-0200-000005000000}"/>
            </a:ext>
          </a:extLst>
        </xdr:cNvPr>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a16="http://schemas.microsoft.com/office/drawing/2014/main" xmlns="" id="{00000000-0008-0000-0200-000032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a16="http://schemas.microsoft.com/office/drawing/2014/main" xmlns="" id="{00000000-0008-0000-0200-00003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a:extLst>
            <a:ext uri="{FF2B5EF4-FFF2-40B4-BE49-F238E27FC236}">
              <a16:creationId xmlns:a16="http://schemas.microsoft.com/office/drawing/2014/main" xmlns=""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xmlns="" id="{00000000-0008-0000-02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xmlns="" id="{00000000-0008-0000-0200-00001114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xmlns="" id="{00000000-0008-0000-02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xmlns="" id="{00000000-0008-0000-02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xmlns="" id="{00000000-0008-0000-02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 uri="{FF2B5EF4-FFF2-40B4-BE49-F238E27FC236}">
                  <a16:creationId xmlns:a16="http://schemas.microsoft.com/office/drawing/2014/main" xmlns="" id="{00000000-0008-0000-0200-00003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xmlns="" id="{00000000-0008-0000-02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 uri="{FF2B5EF4-FFF2-40B4-BE49-F238E27FC236}">
                  <a16:creationId xmlns:a16="http://schemas.microsoft.com/office/drawing/2014/main" xmlns="" id="{00000000-0008-0000-02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 uri="{FF2B5EF4-FFF2-40B4-BE49-F238E27FC236}">
                  <a16:creationId xmlns:a16="http://schemas.microsoft.com/office/drawing/2014/main" xmlns="" id="{00000000-0008-0000-02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 uri="{FF2B5EF4-FFF2-40B4-BE49-F238E27FC236}">
                  <a16:creationId xmlns:a16="http://schemas.microsoft.com/office/drawing/2014/main" xmlns="" id="{00000000-0008-0000-02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 uri="{FF2B5EF4-FFF2-40B4-BE49-F238E27FC236}">
                  <a16:creationId xmlns:a16="http://schemas.microsoft.com/office/drawing/2014/main" xmlns="" id="{00000000-0008-0000-0200-00005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 uri="{FF2B5EF4-FFF2-40B4-BE49-F238E27FC236}">
                  <a16:creationId xmlns:a16="http://schemas.microsoft.com/office/drawing/2014/main" xmlns="" id="{00000000-0008-0000-0200-00005C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135</xdr:row>
          <xdr:rowOff>0</xdr:rowOff>
        </xdr:from>
        <xdr:to>
          <xdr:col>2</xdr:col>
          <xdr:colOff>3819525</xdr:colOff>
          <xdr:row>141</xdr:row>
          <xdr:rowOff>9525</xdr:rowOff>
        </xdr:to>
        <xdr:sp macro="" textlink="">
          <xdr:nvSpPr>
            <xdr:cNvPr id="5221" name="Group Box 101" hidden="1">
              <a:extLst>
                <a:ext uri="{63B3BB69-23CF-44E3-9099-C40C66FF867C}">
                  <a14:compatExt spid="_x0000_s5221"/>
                </a:ext>
                <a:ext uri="{FF2B5EF4-FFF2-40B4-BE49-F238E27FC236}">
                  <a16:creationId xmlns:a16="http://schemas.microsoft.com/office/drawing/2014/main" xmlns="" id="{00000000-0008-0000-0200-00006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 uri="{FF2B5EF4-FFF2-40B4-BE49-F238E27FC236}">
                  <a16:creationId xmlns:a16="http://schemas.microsoft.com/office/drawing/2014/main" xmlns="" id="{00000000-0008-0000-02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 uri="{FF2B5EF4-FFF2-40B4-BE49-F238E27FC236}">
                  <a16:creationId xmlns:a16="http://schemas.microsoft.com/office/drawing/2014/main" xmlns="" id="{00000000-0008-0000-02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57150</xdr:rowOff>
        </xdr:to>
        <xdr:sp macro="" textlink="">
          <xdr:nvSpPr>
            <xdr:cNvPr id="5232" name="Option Button 112" hidden="1">
              <a:extLst>
                <a:ext uri="{63B3BB69-23CF-44E3-9099-C40C66FF867C}">
                  <a14:compatExt spid="_x0000_s5232"/>
                </a:ext>
                <a:ext uri="{FF2B5EF4-FFF2-40B4-BE49-F238E27FC236}">
                  <a16:creationId xmlns:a16="http://schemas.microsoft.com/office/drawing/2014/main" xmlns="" id="{00000000-0008-0000-02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 uri="{FF2B5EF4-FFF2-40B4-BE49-F238E27FC236}">
                  <a16:creationId xmlns:a16="http://schemas.microsoft.com/office/drawing/2014/main" xmlns="" id="{00000000-0008-0000-02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xmlns="" id="{00000000-0008-0000-02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xmlns="" id="{00000000-0008-0000-02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xmlns="" id="{00000000-0008-0000-02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xmlns="" id="{00000000-0008-0000-02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xmlns="" id="{00000000-0008-0000-02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xmlns="" id="{00000000-0008-0000-02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xmlns="" id="{00000000-0008-0000-02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xmlns="" id="{00000000-0008-0000-02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xmlns="" id="{00000000-0008-0000-02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 uri="{FF2B5EF4-FFF2-40B4-BE49-F238E27FC236}">
                  <a16:creationId xmlns:a16="http://schemas.microsoft.com/office/drawing/2014/main" xmlns="" id="{00000000-0008-0000-02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 uri="{FF2B5EF4-FFF2-40B4-BE49-F238E27FC236}">
                  <a16:creationId xmlns:a16="http://schemas.microsoft.com/office/drawing/2014/main" xmlns="" id="{00000000-0008-0000-02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a:extLst>
            <a:ext uri="{FF2B5EF4-FFF2-40B4-BE49-F238E27FC236}">
              <a16:creationId xmlns:a16="http://schemas.microsoft.com/office/drawing/2014/main" xmlns="" id="{00000000-0008-0000-0200-000037000000}"/>
            </a:ext>
          </a:extLst>
        </xdr:cNvPr>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 uri="{FF2B5EF4-FFF2-40B4-BE49-F238E27FC236}">
                  <a16:creationId xmlns:a16="http://schemas.microsoft.com/office/drawing/2014/main" xmlns="" id="{00000000-0008-0000-02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 uri="{FF2B5EF4-FFF2-40B4-BE49-F238E27FC236}">
                  <a16:creationId xmlns:a16="http://schemas.microsoft.com/office/drawing/2014/main" xmlns="" id="{00000000-0008-0000-02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389284</xdr:colOff>
      <xdr:row>110</xdr:row>
      <xdr:rowOff>60741</xdr:rowOff>
    </xdr:from>
    <xdr:ext cx="3470412" cy="374077"/>
    <xdr:sp macro="" textlink="">
      <xdr:nvSpPr>
        <xdr:cNvPr id="3" name="TextBox 2">
          <a:extLst>
            <a:ext uri="{FF2B5EF4-FFF2-40B4-BE49-F238E27FC236}">
              <a16:creationId xmlns:a16="http://schemas.microsoft.com/office/drawing/2014/main" xmlns="" id="{00000000-0008-0000-0200-000003000000}"/>
            </a:ext>
          </a:extLst>
        </xdr:cNvPr>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 uri="{FF2B5EF4-FFF2-40B4-BE49-F238E27FC236}">
                  <a16:creationId xmlns:a16="http://schemas.microsoft.com/office/drawing/2014/main" xmlns="" id="{00000000-0008-0000-02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380999</xdr:colOff>
      <xdr:row>112</xdr:row>
      <xdr:rowOff>41414</xdr:rowOff>
    </xdr:from>
    <xdr:ext cx="3470412" cy="374077"/>
    <xdr:sp macro="" textlink="">
      <xdr:nvSpPr>
        <xdr:cNvPr id="57" name="TextBox 56">
          <a:extLst>
            <a:ext uri="{FF2B5EF4-FFF2-40B4-BE49-F238E27FC236}">
              <a16:creationId xmlns:a16="http://schemas.microsoft.com/office/drawing/2014/main" xmlns="" id="{00000000-0008-0000-0200-000039000000}"/>
            </a:ext>
          </a:extLst>
        </xdr:cNvPr>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a:extLst>
            <a:ext uri="{FF2B5EF4-FFF2-40B4-BE49-F238E27FC236}">
              <a16:creationId xmlns:a16="http://schemas.microsoft.com/office/drawing/2014/main" xmlns="" id="{00000000-0008-0000-0200-00003A000000}"/>
            </a:ext>
          </a:extLst>
        </xdr:cNvPr>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 uri="{FF2B5EF4-FFF2-40B4-BE49-F238E27FC236}">
                  <a16:creationId xmlns:a16="http://schemas.microsoft.com/office/drawing/2014/main" xmlns="" id="{00000000-0008-0000-02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 uri="{FF2B5EF4-FFF2-40B4-BE49-F238E27FC236}">
                  <a16:creationId xmlns:a16="http://schemas.microsoft.com/office/drawing/2014/main" xmlns="" id="{00000000-0008-0000-02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273789</xdr:colOff>
      <xdr:row>99</xdr:row>
      <xdr:rowOff>10587</xdr:rowOff>
    </xdr:from>
    <xdr:ext cx="3652631" cy="1266372"/>
    <xdr:sp macro="" textlink="">
      <xdr:nvSpPr>
        <xdr:cNvPr id="4" name="TextBox 3">
          <a:extLst>
            <a:ext uri="{FF2B5EF4-FFF2-40B4-BE49-F238E27FC236}">
              <a16:creationId xmlns:a16="http://schemas.microsoft.com/office/drawing/2014/main" xmlns="" id="{00000000-0008-0000-0200-000004000000}"/>
            </a:ext>
          </a:extLst>
        </xdr:cNvPr>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 uri="{FF2B5EF4-FFF2-40B4-BE49-F238E27FC236}">
                  <a16:creationId xmlns:a16="http://schemas.microsoft.com/office/drawing/2014/main" xmlns="" id="{00000000-0008-0000-02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a:extLst>
            <a:ext uri="{FF2B5EF4-FFF2-40B4-BE49-F238E27FC236}">
              <a16:creationId xmlns:a16="http://schemas.microsoft.com/office/drawing/2014/main" xmlns="" id="{00000000-0008-0000-0200-000006000000}"/>
            </a:ext>
          </a:extLst>
        </xdr:cNvPr>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a:extLst>
            <a:ext uri="{FF2B5EF4-FFF2-40B4-BE49-F238E27FC236}">
              <a16:creationId xmlns:a16="http://schemas.microsoft.com/office/drawing/2014/main" xmlns="" id="{00000000-0008-0000-0200-00003D000000}"/>
            </a:ext>
          </a:extLst>
        </xdr:cNvPr>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a:extLst>
            <a:ext uri="{FF2B5EF4-FFF2-40B4-BE49-F238E27FC236}">
              <a16:creationId xmlns:a16="http://schemas.microsoft.com/office/drawing/2014/main" xmlns="" id="{00000000-0008-0000-0200-00003E000000}"/>
            </a:ext>
          </a:extLst>
        </xdr:cNvPr>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a:extLst>
                <a:ext uri="{FF2B5EF4-FFF2-40B4-BE49-F238E27FC236}">
                  <a16:creationId xmlns:a16="http://schemas.microsoft.com/office/drawing/2014/main" xmlns="" id="{00000000-0008-0000-0200-000009000000}"/>
                </a:ext>
              </a:extLst>
            </xdr:cNvPr>
            <xdr:cNvGrpSpPr/>
          </xdr:nvGrpSpPr>
          <xdr:grpSpPr>
            <a:xfrm>
              <a:off x="425450" y="69005450"/>
              <a:ext cx="13121217" cy="484717"/>
              <a:chOff x="425450" y="67671950"/>
              <a:chExt cx="13121217" cy="484717"/>
            </a:xfrm>
          </xdr:grpSpPr>
          <xdr:sp macro="" textlink="">
            <xdr:nvSpPr>
              <xdr:cNvPr id="5338" name="Group Box 218" descr="Тип учета" hidden="1">
                <a:extLst>
                  <a:ext uri="{63B3BB69-23CF-44E3-9099-C40C66FF867C}">
                    <a14:compatExt spid="_x0000_s5338"/>
                  </a:ext>
                  <a:ext uri="{FF2B5EF4-FFF2-40B4-BE49-F238E27FC236}">
                    <a16:creationId xmlns:a16="http://schemas.microsoft.com/office/drawing/2014/main" xmlns="" id="{00000000-0008-0000-0200-0000DA140000}"/>
                  </a:ext>
                </a:extLst>
              </xdr:cNvPr>
              <xdr:cNvSpPr/>
            </xdr:nvSpPr>
            <xdr:spPr bwMode="auto">
              <a:xfrm>
                <a:off x="425450" y="67671950"/>
                <a:ext cx="13121217"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grpSp>
            <xdr:nvGrpSpPr>
              <xdr:cNvPr id="8" name="Группа 7">
                <a:extLst>
                  <a:ext uri="{FF2B5EF4-FFF2-40B4-BE49-F238E27FC236}">
                    <a16:creationId xmlns:a16="http://schemas.microsoft.com/office/drawing/2014/main" xmlns="" id="{00000000-0008-0000-0200-000008000000}"/>
                  </a:ext>
                </a:extLst>
              </xdr:cNvPr>
              <xdr:cNvGrpSpPr/>
            </xdr:nvGrpSpPr>
            <xdr:grpSpPr>
              <a:xfrm>
                <a:off x="1661586" y="67722749"/>
                <a:ext cx="11810996" cy="426691"/>
                <a:chOff x="1661586" y="67722749"/>
                <a:chExt cx="11810996" cy="426691"/>
              </a:xfrm>
            </xdr:grpSpPr>
            <xdr:sp macro="" textlink="">
              <xdr:nvSpPr>
                <xdr:cNvPr id="5339" name="Option Button 219" hidden="1">
                  <a:extLst>
                    <a:ext uri="{63B3BB69-23CF-44E3-9099-C40C66FF867C}">
                      <a14:compatExt spid="_x0000_s5339"/>
                    </a:ext>
                    <a:ext uri="{FF2B5EF4-FFF2-40B4-BE49-F238E27FC236}">
                      <a16:creationId xmlns:a16="http://schemas.microsoft.com/office/drawing/2014/main" xmlns="" id="{00000000-0008-0000-0200-0000DB140000}"/>
                    </a:ext>
                  </a:extLst>
                </xdr:cNvPr>
                <xdr:cNvSpPr/>
              </xdr:nvSpPr>
              <xdr:spPr bwMode="auto">
                <a:xfrm>
                  <a:off x="4428066" y="67722749"/>
                  <a:ext cx="4186767" cy="426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 uri="{FF2B5EF4-FFF2-40B4-BE49-F238E27FC236}">
                      <a16:creationId xmlns:a16="http://schemas.microsoft.com/office/drawing/2014/main" xmlns="" id="{00000000-0008-0000-0200-0000DC140000}"/>
                    </a:ext>
                  </a:extLst>
                </xdr:cNvPr>
                <xdr:cNvSpPr/>
              </xdr:nvSpPr>
              <xdr:spPr bwMode="auto">
                <a:xfrm>
                  <a:off x="8909049" y="67725926"/>
                  <a:ext cx="4563533"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 uri="{FF2B5EF4-FFF2-40B4-BE49-F238E27FC236}">
                      <a16:creationId xmlns:a16="http://schemas.microsoft.com/office/drawing/2014/main" xmlns="" id="{00000000-0008-0000-0200-0000DD140000}"/>
                    </a:ext>
                  </a:extLst>
                </xdr:cNvPr>
                <xdr:cNvSpPr/>
              </xdr:nvSpPr>
              <xdr:spPr bwMode="auto">
                <a:xfrm>
                  <a:off x="1661586" y="67736507"/>
                  <a:ext cx="2518832"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 uri="{FF2B5EF4-FFF2-40B4-BE49-F238E27FC236}">
                  <a16:creationId xmlns:a16="http://schemas.microsoft.com/office/drawing/2014/main" xmlns="" id="{00000000-0008-0000-0200-0000D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 uri="{FF2B5EF4-FFF2-40B4-BE49-F238E27FC236}">
                  <a16:creationId xmlns:a16="http://schemas.microsoft.com/office/drawing/2014/main" xmlns="" id="{00000000-0008-0000-02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 uri="{FF2B5EF4-FFF2-40B4-BE49-F238E27FC236}">
                  <a16:creationId xmlns:a16="http://schemas.microsoft.com/office/drawing/2014/main" xmlns="" id="{00000000-0008-0000-02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 uri="{FF2B5EF4-FFF2-40B4-BE49-F238E27FC236}">
                  <a16:creationId xmlns:a16="http://schemas.microsoft.com/office/drawing/2014/main" xmlns="" id="{00000000-0008-0000-02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 uri="{FF2B5EF4-FFF2-40B4-BE49-F238E27FC236}">
                  <a16:creationId xmlns:a16="http://schemas.microsoft.com/office/drawing/2014/main" xmlns="" id="{00000000-0008-0000-02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a:extLst>
            <a:ext uri="{FF2B5EF4-FFF2-40B4-BE49-F238E27FC236}">
              <a16:creationId xmlns:a16="http://schemas.microsoft.com/office/drawing/2014/main" xmlns="" id="{00000000-0008-0000-0300-000002000000}"/>
            </a:ext>
          </a:extLst>
        </xdr:cNvPr>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a:extLst>
            <a:ext uri="{FF2B5EF4-FFF2-40B4-BE49-F238E27FC236}">
              <a16:creationId xmlns:a16="http://schemas.microsoft.com/office/drawing/2014/main" xmlns="" id="{00000000-0008-0000-0300-00002A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a:extLst>
            <a:ext uri="{FF2B5EF4-FFF2-40B4-BE49-F238E27FC236}">
              <a16:creationId xmlns:a16="http://schemas.microsoft.com/office/drawing/2014/main" xmlns="" id="{00000000-0008-0000-0300-000003000000}"/>
            </a:ext>
          </a:extLst>
        </xdr:cNvPr>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xmlns="" id="{00000000-0008-0000-03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xmlns="" id="{00000000-0008-0000-03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xmlns="" id="{00000000-0008-0000-03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xmlns="" id="{00000000-0008-0000-03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xmlns="" id="{00000000-0008-0000-03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xmlns="" id="{00000000-0008-0000-03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xmlns="" id="{00000000-0008-0000-03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xmlns="" id="{00000000-0008-0000-03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xmlns="" id="{00000000-0008-0000-03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xmlns=""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xmlns="" id="{00000000-0008-0000-03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xmlns="" id="{00000000-0008-0000-03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xmlns="" id="{00000000-0008-0000-03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xmlns="" id="{00000000-0008-0000-03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xmlns="" id="{00000000-0008-0000-03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xmlns="" id="{00000000-0008-0000-03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xmlns="" id="{00000000-0008-0000-03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xmlns="" id="{00000000-0008-0000-03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xmlns="" id="{00000000-0008-0000-03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xmlns="" id="{00000000-0008-0000-03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xmlns="" id="{00000000-0008-0000-03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xmlns="" id="{00000000-0008-0000-03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xmlns="" id="{00000000-0008-0000-03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xmlns="" id="{00000000-0008-0000-03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xmlns="" id="{00000000-0008-0000-03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xmlns="" id="{00000000-0008-0000-03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xmlns="" id="{00000000-0008-0000-03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xmlns="" id="{00000000-0008-0000-03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xmlns="" id="{00000000-0008-0000-03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xmlns="" id="{00000000-0008-0000-03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38</xdr:row>
      <xdr:rowOff>1058</xdr:rowOff>
    </xdr:from>
    <xdr:to>
      <xdr:col>4</xdr:col>
      <xdr:colOff>295050</xdr:colOff>
      <xdr:row>47</xdr:row>
      <xdr:rowOff>7583</xdr:rowOff>
    </xdr:to>
    <xdr:pic>
      <xdr:nvPicPr>
        <xdr:cNvPr id="6" name="Рисунок 5">
          <a:extLst>
            <a:ext uri="{FF2B5EF4-FFF2-40B4-BE49-F238E27FC236}">
              <a16:creationId xmlns:a16="http://schemas.microsoft.com/office/drawing/2014/main" xmlns="" id="{00000000-0008-0000-0400-000006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45033"/>
          <a:ext cx="1800000" cy="2664000"/>
        </a:xfrm>
        <a:prstGeom prst="rect">
          <a:avLst/>
        </a:prstGeom>
      </xdr:spPr>
    </xdr:pic>
    <xdr:clientData/>
  </xdr:twoCellAnchor>
  <xdr:twoCellAnchor>
    <xdr:from>
      <xdr:col>0</xdr:col>
      <xdr:colOff>428626</xdr:colOff>
      <xdr:row>38</xdr:row>
      <xdr:rowOff>0</xdr:rowOff>
    </xdr:from>
    <xdr:to>
      <xdr:col>2</xdr:col>
      <xdr:colOff>9525</xdr:colOff>
      <xdr:row>47</xdr:row>
      <xdr:rowOff>6525</xdr:rowOff>
    </xdr:to>
    <xdr:sp macro="" textlink="">
      <xdr:nvSpPr>
        <xdr:cNvPr id="7" name="Прямоугольник 6">
          <a:extLst>
            <a:ext uri="{FF2B5EF4-FFF2-40B4-BE49-F238E27FC236}">
              <a16:creationId xmlns:a16="http://schemas.microsoft.com/office/drawing/2014/main" xmlns="" id="{00000000-0008-0000-0400-000007000000}"/>
            </a:ext>
          </a:extLst>
        </xdr:cNvPr>
        <xdr:cNvSpPr/>
      </xdr:nvSpPr>
      <xdr:spPr>
        <a:xfrm>
          <a:off x="428626" y="8943975"/>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0</xdr:rowOff>
    </xdr:from>
    <xdr:to>
      <xdr:col>4</xdr:col>
      <xdr:colOff>857249</xdr:colOff>
      <xdr:row>47</xdr:row>
      <xdr:rowOff>6525</xdr:rowOff>
    </xdr:to>
    <xdr:sp macro="" textlink="">
      <xdr:nvSpPr>
        <xdr:cNvPr id="8" name="Прямоугольник 7">
          <a:extLst>
            <a:ext uri="{FF2B5EF4-FFF2-40B4-BE49-F238E27FC236}">
              <a16:creationId xmlns:a16="http://schemas.microsoft.com/office/drawing/2014/main" xmlns="" id="{00000000-0008-0000-0400-000008000000}"/>
            </a:ext>
          </a:extLst>
        </xdr:cNvPr>
        <xdr:cNvSpPr/>
      </xdr:nvSpPr>
      <xdr:spPr>
        <a:xfrm>
          <a:off x="2438399" y="8943975"/>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a:extLst>
            <a:ext uri="{FF2B5EF4-FFF2-40B4-BE49-F238E27FC236}">
              <a16:creationId xmlns:a16="http://schemas.microsoft.com/office/drawing/2014/main" xmlns=""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66676</xdr:colOff>
      <xdr:row>2</xdr:row>
      <xdr:rowOff>155116</xdr:rowOff>
    </xdr:from>
    <xdr:to>
      <xdr:col>19</xdr:col>
      <xdr:colOff>12609</xdr:colOff>
      <xdr:row>29</xdr:row>
      <xdr:rowOff>338115</xdr:rowOff>
    </xdr:to>
    <xdr:grpSp>
      <xdr:nvGrpSpPr>
        <xdr:cNvPr id="4" name="Группа 3">
          <a:extLst>
            <a:ext uri="{FF2B5EF4-FFF2-40B4-BE49-F238E27FC236}">
              <a16:creationId xmlns:a16="http://schemas.microsoft.com/office/drawing/2014/main" xmlns="" id="{00000000-0008-0000-0400-000004000000}"/>
            </a:ext>
          </a:extLst>
        </xdr:cNvPr>
        <xdr:cNvGrpSpPr/>
      </xdr:nvGrpSpPr>
      <xdr:grpSpPr>
        <a:xfrm>
          <a:off x="8248651" y="507541"/>
          <a:ext cx="5565683" cy="6593324"/>
          <a:chOff x="2990851" y="736141"/>
          <a:chExt cx="5565683" cy="6593324"/>
        </a:xfrm>
      </xdr:grpSpPr>
      <xdr:graphicFrame macro="">
        <xdr:nvGraphicFramePr>
          <xdr:cNvPr id="5" name="Диаграмма 4">
            <a:extLst>
              <a:ext uri="{FF2B5EF4-FFF2-40B4-BE49-F238E27FC236}">
                <a16:creationId xmlns:a16="http://schemas.microsoft.com/office/drawing/2014/main" xmlns="" id="{00000000-0008-0000-0400-000005000000}"/>
              </a:ext>
            </a:extLst>
          </xdr:cNvPr>
          <xdr:cNvGraphicFramePr>
            <a:graphicFrameLocks/>
          </xdr:cNvGraphicFramePr>
        </xdr:nvGraphicFramePr>
        <xdr:xfrm>
          <a:off x="3778850" y="736141"/>
          <a:ext cx="4777684" cy="6586515"/>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3" name="Диаграмма 12">
            <a:extLst>
              <a:ext uri="{FF2B5EF4-FFF2-40B4-BE49-F238E27FC236}">
                <a16:creationId xmlns:a16="http://schemas.microsoft.com/office/drawing/2014/main" xmlns="" id="{00000000-0008-0000-0400-00000D000000}"/>
              </a:ext>
            </a:extLst>
          </xdr:cNvPr>
          <xdr:cNvGraphicFramePr>
            <a:graphicFrameLocks/>
          </xdr:cNvGraphicFramePr>
        </xdr:nvGraphicFramePr>
        <xdr:xfrm>
          <a:off x="2990851" y="742950"/>
          <a:ext cx="4543424" cy="6586515"/>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a16="http://schemas.microsoft.com/office/drawing/2014/main" xmlns=""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a16="http://schemas.microsoft.com/office/drawing/2014/main" xmlns=""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a16="http://schemas.microsoft.com/office/drawing/2014/main" xmlns=""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a16="http://schemas.microsoft.com/office/drawing/2014/main" xmlns=""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a16="http://schemas.microsoft.com/office/drawing/2014/main" xmlns=""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a16="http://schemas.microsoft.com/office/drawing/2014/main" xmlns=""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a16="http://schemas.microsoft.com/office/drawing/2014/main" xmlns=""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a16="http://schemas.microsoft.com/office/drawing/2014/main" xmlns=""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a16="http://schemas.microsoft.com/office/drawing/2014/main" xmlns=""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a16="http://schemas.microsoft.com/office/drawing/2014/main" xmlns="" id="{00000000-0008-0000-0B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a16="http://schemas.microsoft.com/office/drawing/2014/main" xmlns=""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s://fondgkh.ru/napravleniya-deyatelnosti/energoeffektivnyy-kapremont/pomoshchnik-ekr00/pomoshc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zoomScaleNormal="100" workbookViewId="0">
      <pane ySplit="1" topLeftCell="A2" activePane="bottomLeft" state="frozen"/>
      <selection pane="bottomLeft"/>
    </sheetView>
  </sheetViews>
  <sheetFormatPr defaultColWidth="0" defaultRowHeight="15" zeroHeight="1" x14ac:dyDescent="0.25"/>
  <cols>
    <col min="1" max="1" width="9.140625" style="1527" customWidth="1"/>
    <col min="2" max="2" width="4.7109375" style="1527" customWidth="1"/>
    <col min="3" max="3" width="4.28515625" style="1527" customWidth="1"/>
    <col min="4" max="4" width="127.42578125" style="1527" customWidth="1"/>
    <col min="5" max="5" width="9.140625" style="1527" customWidth="1"/>
    <col min="6" max="24" width="0" style="1527" hidden="1" customWidth="1"/>
    <col min="25" max="16384" width="9.140625" style="1527" hidden="1"/>
  </cols>
  <sheetData>
    <row r="1" spans="1:24" s="1526" customFormat="1" x14ac:dyDescent="0.25">
      <c r="A1" s="1524"/>
      <c r="B1" s="1525"/>
      <c r="D1" s="1523" t="s">
        <v>1570</v>
      </c>
      <c r="E1" s="1524"/>
      <c r="F1" s="1524"/>
      <c r="G1" s="1524"/>
      <c r="H1" s="1524"/>
      <c r="I1" s="1524"/>
      <c r="J1" s="1524"/>
      <c r="K1" s="1524"/>
      <c r="L1" s="1524"/>
      <c r="M1" s="1524"/>
      <c r="N1" s="1524"/>
      <c r="O1" s="1524"/>
      <c r="P1" s="1524"/>
      <c r="Q1" s="1524"/>
      <c r="R1" s="1524"/>
      <c r="S1" s="1524"/>
      <c r="T1" s="1524"/>
      <c r="U1" s="1524"/>
      <c r="V1" s="1524"/>
      <c r="W1" s="1524"/>
      <c r="X1" s="1524"/>
    </row>
    <row r="2" spans="1:24" x14ac:dyDescent="0.25">
      <c r="A2" s="50"/>
      <c r="B2" s="50"/>
      <c r="C2" s="1524"/>
      <c r="D2" s="1524"/>
      <c r="E2" s="1524"/>
      <c r="F2" s="1524"/>
      <c r="G2" s="1524"/>
      <c r="H2" s="1524"/>
      <c r="I2" s="1524"/>
      <c r="J2" s="1524"/>
      <c r="K2" s="1524"/>
      <c r="L2" s="1524"/>
      <c r="M2" s="1524"/>
      <c r="N2" s="1524"/>
      <c r="O2" s="1524"/>
      <c r="P2" s="1524"/>
      <c r="Q2" s="1524"/>
      <c r="R2" s="1524"/>
      <c r="S2" s="1524"/>
      <c r="T2" s="1524"/>
      <c r="U2" s="1524"/>
      <c r="V2" s="1524"/>
      <c r="W2" s="1524"/>
      <c r="X2" s="1524"/>
    </row>
    <row r="3" spans="1:24" ht="40.5" customHeight="1" x14ac:dyDescent="0.35">
      <c r="A3" s="1524"/>
      <c r="B3" s="1528"/>
      <c r="C3" s="1941" t="s">
        <v>1715</v>
      </c>
      <c r="D3" s="1941"/>
      <c r="E3" s="1524"/>
      <c r="F3" s="1524"/>
      <c r="G3" s="1524"/>
      <c r="H3" s="1524"/>
      <c r="I3" s="1524"/>
      <c r="J3" s="1524"/>
      <c r="K3" s="1524"/>
      <c r="L3" s="1524"/>
      <c r="M3" s="1524"/>
      <c r="N3" s="1524"/>
      <c r="O3" s="1524"/>
      <c r="P3" s="1524"/>
      <c r="Q3" s="1524"/>
      <c r="R3" s="1524"/>
      <c r="S3" s="1524"/>
      <c r="T3" s="1524"/>
      <c r="U3" s="1524"/>
      <c r="V3" s="1524"/>
      <c r="W3" s="1524"/>
      <c r="X3" s="1524"/>
    </row>
    <row r="4" spans="1:24" ht="65.25" customHeight="1" x14ac:dyDescent="0.3">
      <c r="A4" s="1524"/>
      <c r="B4" s="1528"/>
      <c r="C4" s="1942" t="s">
        <v>1716</v>
      </c>
      <c r="D4" s="1942"/>
      <c r="E4" s="1524"/>
      <c r="F4" s="1524"/>
      <c r="G4" s="1524"/>
      <c r="H4" s="1524"/>
      <c r="I4" s="1524"/>
      <c r="J4" s="1524"/>
      <c r="K4" s="1524"/>
      <c r="L4" s="1524"/>
      <c r="M4" s="1524"/>
      <c r="N4" s="1524"/>
      <c r="O4" s="1524"/>
      <c r="P4" s="1524"/>
      <c r="Q4" s="1524"/>
      <c r="R4" s="1524"/>
      <c r="S4" s="1524"/>
      <c r="T4" s="1524"/>
      <c r="U4" s="1524"/>
      <c r="V4" s="1524"/>
      <c r="W4" s="1524"/>
      <c r="X4" s="1524"/>
    </row>
    <row r="5" spans="1:24" ht="39" customHeight="1" x14ac:dyDescent="0.3">
      <c r="A5" s="1524"/>
      <c r="B5" s="1528"/>
      <c r="C5" s="1943" t="s">
        <v>1978</v>
      </c>
      <c r="D5" s="1943"/>
      <c r="E5" s="1529"/>
      <c r="F5" s="1524"/>
      <c r="G5" s="1524"/>
      <c r="H5" s="1524"/>
      <c r="I5" s="1524"/>
      <c r="J5" s="1524"/>
      <c r="K5" s="1524"/>
      <c r="L5" s="1524"/>
      <c r="M5" s="1524"/>
      <c r="N5" s="1524"/>
      <c r="O5" s="1524"/>
      <c r="P5" s="1524"/>
      <c r="Q5" s="1524"/>
      <c r="R5" s="1524"/>
      <c r="S5" s="1524"/>
      <c r="T5" s="1524"/>
      <c r="U5" s="1524"/>
      <c r="V5" s="1524"/>
      <c r="W5" s="1524"/>
      <c r="X5" s="1524"/>
    </row>
    <row r="6" spans="1:24" ht="33.75" customHeight="1" x14ac:dyDescent="0.25">
      <c r="A6" s="1524"/>
      <c r="B6" s="1528"/>
      <c r="C6" s="1530"/>
      <c r="D6" s="1531" t="s">
        <v>1982</v>
      </c>
      <c r="E6" s="1529"/>
      <c r="F6" s="1524"/>
      <c r="G6" s="1524"/>
      <c r="H6" s="1524"/>
      <c r="I6" s="1524"/>
      <c r="J6" s="1524"/>
      <c r="K6" s="1524"/>
      <c r="L6" s="1524"/>
      <c r="M6" s="1524"/>
      <c r="N6" s="1524"/>
      <c r="O6" s="1524"/>
      <c r="P6" s="1524"/>
      <c r="Q6" s="1524"/>
      <c r="R6" s="1524"/>
      <c r="S6" s="1524"/>
      <c r="T6" s="1524"/>
      <c r="U6" s="1524"/>
      <c r="V6" s="1524"/>
      <c r="W6" s="1524"/>
      <c r="X6" s="1524"/>
    </row>
    <row r="7" spans="1:24" ht="39" customHeight="1" x14ac:dyDescent="0.3">
      <c r="A7" s="1524"/>
      <c r="B7" s="1528"/>
      <c r="C7" s="1943" t="s">
        <v>1979</v>
      </c>
      <c r="D7" s="1943"/>
      <c r="E7" s="1529"/>
      <c r="F7" s="1524"/>
      <c r="G7" s="1524"/>
      <c r="H7" s="1524"/>
      <c r="I7" s="1524"/>
      <c r="J7" s="1524"/>
      <c r="K7" s="1524"/>
      <c r="L7" s="1524"/>
      <c r="M7" s="1524"/>
      <c r="N7" s="1524"/>
      <c r="O7" s="1524"/>
      <c r="P7" s="1524"/>
      <c r="Q7" s="1524"/>
      <c r="R7" s="1524"/>
      <c r="S7" s="1524"/>
      <c r="T7" s="1524"/>
      <c r="U7" s="1524"/>
      <c r="V7" s="1524"/>
      <c r="W7" s="1524"/>
      <c r="X7" s="1524"/>
    </row>
    <row r="8" spans="1:24" ht="33.75" customHeight="1" x14ac:dyDescent="0.25">
      <c r="A8" s="1524"/>
      <c r="B8" s="1528"/>
      <c r="C8" s="1530"/>
      <c r="D8" s="1531" t="s">
        <v>1983</v>
      </c>
      <c r="E8" s="1529"/>
      <c r="F8" s="1524"/>
      <c r="G8" s="1524"/>
      <c r="H8" s="1524"/>
      <c r="I8" s="1524"/>
      <c r="J8" s="1524"/>
      <c r="K8" s="1524"/>
      <c r="L8" s="1524"/>
      <c r="M8" s="1524"/>
      <c r="N8" s="1524"/>
      <c r="O8" s="1524"/>
      <c r="P8" s="1524"/>
      <c r="Q8" s="1524"/>
      <c r="R8" s="1524"/>
      <c r="S8" s="1524"/>
      <c r="T8" s="1524"/>
      <c r="U8" s="1524"/>
      <c r="V8" s="1524"/>
      <c r="W8" s="1524"/>
      <c r="X8" s="1524"/>
    </row>
    <row r="9" spans="1:24" ht="39" customHeight="1" x14ac:dyDescent="0.3">
      <c r="A9" s="1524"/>
      <c r="B9" s="1528"/>
      <c r="C9" s="1943" t="s">
        <v>1980</v>
      </c>
      <c r="D9" s="1943"/>
      <c r="E9" s="1529"/>
      <c r="F9" s="1524"/>
      <c r="G9" s="1524"/>
      <c r="H9" s="1524"/>
      <c r="I9" s="1524"/>
      <c r="J9" s="1524"/>
      <c r="K9" s="1524"/>
      <c r="L9" s="1524"/>
      <c r="M9" s="1524"/>
      <c r="N9" s="1524"/>
      <c r="O9" s="1524"/>
      <c r="P9" s="1524"/>
      <c r="Q9" s="1524"/>
      <c r="R9" s="1524"/>
      <c r="S9" s="1524"/>
      <c r="T9" s="1524"/>
      <c r="U9" s="1524"/>
      <c r="V9" s="1524"/>
      <c r="W9" s="1524"/>
      <c r="X9" s="1524"/>
    </row>
    <row r="10" spans="1:24" ht="33.75" customHeight="1" x14ac:dyDescent="0.25">
      <c r="A10" s="1524"/>
      <c r="B10" s="1528"/>
      <c r="C10" s="1530"/>
      <c r="D10" s="1532" t="s">
        <v>1981</v>
      </c>
      <c r="E10" s="1533"/>
      <c r="F10" s="1524"/>
      <c r="G10" s="1524"/>
      <c r="H10" s="1524"/>
      <c r="I10" s="1524"/>
      <c r="J10" s="1524"/>
      <c r="K10" s="1524"/>
      <c r="L10" s="1524"/>
      <c r="M10" s="1524"/>
      <c r="N10" s="1524"/>
      <c r="O10" s="1524"/>
      <c r="P10" s="1524"/>
      <c r="Q10" s="1524"/>
      <c r="R10" s="1524"/>
      <c r="S10" s="1524"/>
      <c r="T10" s="1524"/>
      <c r="U10" s="1524"/>
      <c r="V10" s="1524"/>
      <c r="W10" s="1524"/>
      <c r="X10" s="1524"/>
    </row>
    <row r="11" spans="1:24" ht="39" customHeight="1" x14ac:dyDescent="0.3">
      <c r="A11" s="1524"/>
      <c r="B11" s="1528"/>
      <c r="C11" s="1943" t="s">
        <v>1990</v>
      </c>
      <c r="D11" s="1943"/>
      <c r="E11" s="1529"/>
      <c r="F11" s="1524"/>
      <c r="G11" s="1524"/>
      <c r="H11" s="1524"/>
      <c r="I11" s="1524"/>
      <c r="J11" s="1524"/>
      <c r="K11" s="1524"/>
      <c r="L11" s="1524"/>
      <c r="M11" s="1524"/>
      <c r="N11" s="1524"/>
      <c r="O11" s="1524"/>
      <c r="P11" s="1524"/>
      <c r="Q11" s="1524"/>
      <c r="R11" s="1524"/>
      <c r="S11" s="1524"/>
      <c r="T11" s="1524"/>
      <c r="U11" s="1524"/>
      <c r="V11" s="1524"/>
      <c r="W11" s="1524"/>
      <c r="X11" s="1524"/>
    </row>
    <row r="12" spans="1:24" ht="33.75" customHeight="1" x14ac:dyDescent="0.25">
      <c r="A12" s="1524"/>
      <c r="B12" s="1528"/>
      <c r="C12" s="1530"/>
      <c r="D12" s="1532" t="s">
        <v>2473</v>
      </c>
      <c r="E12" s="1529"/>
      <c r="F12" s="1524"/>
      <c r="G12" s="1524"/>
      <c r="H12" s="1524"/>
      <c r="I12" s="1524"/>
      <c r="J12" s="1524"/>
      <c r="K12" s="1524"/>
      <c r="L12" s="1524"/>
      <c r="M12" s="1524"/>
      <c r="N12" s="1524"/>
      <c r="O12" s="1524"/>
      <c r="P12" s="1524"/>
      <c r="Q12" s="1524"/>
      <c r="R12" s="1524"/>
      <c r="S12" s="1524"/>
      <c r="T12" s="1524"/>
      <c r="U12" s="1524"/>
      <c r="V12" s="1524"/>
      <c r="W12" s="1524"/>
      <c r="X12" s="1524"/>
    </row>
    <row r="13" spans="1:24" ht="39" customHeight="1" x14ac:dyDescent="0.3">
      <c r="A13" s="1524"/>
      <c r="B13" s="1528"/>
      <c r="C13" s="1940" t="s">
        <v>1571</v>
      </c>
      <c r="D13" s="1940"/>
      <c r="E13" s="1529"/>
      <c r="F13" s="1524"/>
      <c r="G13" s="1524"/>
      <c r="H13" s="1524"/>
      <c r="I13" s="1524"/>
      <c r="J13" s="1524"/>
      <c r="K13" s="1524"/>
      <c r="L13" s="1524"/>
      <c r="M13" s="1524"/>
      <c r="N13" s="1524"/>
      <c r="O13" s="1524"/>
      <c r="P13" s="1524"/>
      <c r="Q13" s="1524"/>
      <c r="R13" s="1524"/>
      <c r="S13" s="1524"/>
      <c r="T13" s="1524"/>
      <c r="U13" s="1524"/>
      <c r="V13" s="1524"/>
      <c r="W13" s="1524"/>
      <c r="X13" s="1524"/>
    </row>
    <row r="14" spans="1:24" ht="33.75" customHeight="1" x14ac:dyDescent="0.25">
      <c r="A14" s="1524"/>
      <c r="B14" s="1528"/>
      <c r="C14" s="1530"/>
      <c r="D14" s="1532" t="s">
        <v>1717</v>
      </c>
      <c r="E14" s="1524"/>
      <c r="F14" s="1524"/>
      <c r="G14" s="1524"/>
      <c r="H14" s="1524"/>
      <c r="I14" s="1524"/>
      <c r="J14" s="1524"/>
      <c r="K14" s="1524"/>
      <c r="L14" s="1524"/>
      <c r="M14" s="1524"/>
      <c r="N14" s="1524"/>
      <c r="O14" s="1524"/>
      <c r="P14" s="1524"/>
      <c r="Q14" s="1524"/>
      <c r="R14" s="1524"/>
      <c r="S14" s="1524"/>
      <c r="T14" s="1524"/>
      <c r="U14" s="1524"/>
      <c r="V14" s="1524"/>
      <c r="W14" s="1524"/>
      <c r="X14" s="1524"/>
    </row>
    <row r="15" spans="1:24" x14ac:dyDescent="0.25">
      <c r="A15" s="1524"/>
      <c r="B15" s="1528"/>
      <c r="C15" s="1528"/>
      <c r="D15" s="1534" t="s">
        <v>2505</v>
      </c>
      <c r="E15" s="1524"/>
      <c r="F15" s="1524"/>
      <c r="G15" s="1524"/>
      <c r="H15" s="1524"/>
      <c r="I15" s="1524"/>
      <c r="J15" s="1524"/>
      <c r="K15" s="1524"/>
      <c r="L15" s="1524"/>
      <c r="M15" s="1524"/>
      <c r="N15" s="1524"/>
      <c r="O15" s="1524"/>
      <c r="P15" s="1524"/>
      <c r="Q15" s="1524"/>
      <c r="R15" s="1524"/>
      <c r="S15" s="1524"/>
      <c r="T15" s="1524"/>
      <c r="U15" s="1524"/>
      <c r="V15" s="1524"/>
      <c r="W15" s="1524"/>
      <c r="X15" s="1524"/>
    </row>
    <row r="16" spans="1:24" ht="19.5" customHeight="1" x14ac:dyDescent="0.25">
      <c r="A16" s="1524"/>
      <c r="B16" s="1524"/>
      <c r="C16" s="1524"/>
      <c r="D16" s="1535" t="s">
        <v>2132</v>
      </c>
      <c r="E16" s="1524"/>
      <c r="F16" s="1524"/>
      <c r="G16" s="1524"/>
      <c r="H16" s="1524"/>
      <c r="I16" s="1524"/>
      <c r="J16" s="1524"/>
      <c r="K16" s="1524"/>
      <c r="L16" s="1524"/>
      <c r="M16" s="1524"/>
      <c r="N16" s="1524"/>
      <c r="O16" s="1524"/>
      <c r="P16" s="1524"/>
      <c r="Q16" s="1524"/>
      <c r="R16" s="1524"/>
      <c r="S16" s="1524"/>
      <c r="T16" s="1524"/>
      <c r="U16" s="1524"/>
      <c r="V16" s="1524"/>
      <c r="W16" s="1524"/>
      <c r="X16" s="1524"/>
    </row>
    <row r="17" spans="1:24" x14ac:dyDescent="0.25">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x14ac:dyDescent="0.25">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c r="W18" s="1524"/>
      <c r="X18" s="1524"/>
    </row>
    <row r="19" spans="1:24" hidden="1" x14ac:dyDescent="0.25">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row>
    <row r="20" spans="1:24" hidden="1" x14ac:dyDescent="0.25">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c r="W20" s="1524"/>
      <c r="X20" s="1524"/>
    </row>
    <row r="21" spans="1:24" hidden="1" x14ac:dyDescent="0.25">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row>
    <row r="22" spans="1:24" hidden="1" x14ac:dyDescent="0.25">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c r="W22" s="1524"/>
      <c r="X22" s="1524"/>
    </row>
    <row r="23" spans="1:24" hidden="1" x14ac:dyDescent="0.25">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c r="W23" s="1524"/>
      <c r="X23" s="1524"/>
    </row>
    <row r="24" spans="1:24" hidden="1" x14ac:dyDescent="0.25">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c r="W24" s="1524"/>
      <c r="X24" s="1524"/>
    </row>
    <row r="25" spans="1:24" hidden="1" x14ac:dyDescent="0.25">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c r="W25" s="1524"/>
      <c r="X25" s="1524"/>
    </row>
    <row r="26" spans="1:24" hidden="1" x14ac:dyDescent="0.25">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c r="W26" s="1524"/>
      <c r="X26" s="1524"/>
    </row>
    <row r="27" spans="1:24" hidden="1" x14ac:dyDescent="0.25">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c r="W27" s="1524"/>
      <c r="X27" s="1524"/>
    </row>
    <row r="28" spans="1:24" hidden="1" x14ac:dyDescent="0.25">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c r="W28" s="1524"/>
      <c r="X28" s="1524"/>
    </row>
    <row r="29" spans="1:24" hidden="1" x14ac:dyDescent="0.25">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row>
    <row r="30" spans="1:24" hidden="1" x14ac:dyDescent="0.25">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row>
    <row r="31" spans="1:24" hidden="1" x14ac:dyDescent="0.25">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row>
    <row r="32" spans="1:24" hidden="1" x14ac:dyDescent="0.25">
      <c r="A32" s="1524"/>
      <c r="B32" s="1524"/>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row>
    <row r="33" spans="1:24" hidden="1" x14ac:dyDescent="0.25">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row>
    <row r="34" spans="1:24" hidden="1" x14ac:dyDescent="0.25">
      <c r="A34" s="1524"/>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row>
    <row r="35" spans="1:24" hidden="1" x14ac:dyDescent="0.25">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row>
    <row r="36" spans="1:24" hidden="1" x14ac:dyDescent="0.25">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row>
    <row r="37" spans="1:24" hidden="1" x14ac:dyDescent="0.25">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row>
    <row r="38" spans="1:24" hidden="1" x14ac:dyDescent="0.25">
      <c r="A38" s="1524"/>
      <c r="B38" s="1524"/>
      <c r="C38" s="1524"/>
      <c r="D38" s="1524"/>
      <c r="E38" s="1524"/>
      <c r="F38" s="1524"/>
      <c r="G38" s="1524"/>
      <c r="H38" s="1524"/>
      <c r="I38" s="1524"/>
      <c r="J38" s="1524"/>
      <c r="K38" s="1524"/>
      <c r="L38" s="1524"/>
      <c r="M38" s="1524"/>
      <c r="N38" s="1524"/>
      <c r="O38" s="1524"/>
      <c r="P38" s="1524"/>
      <c r="Q38" s="1524"/>
      <c r="R38" s="1524"/>
      <c r="S38" s="1524"/>
      <c r="T38" s="1524"/>
      <c r="U38" s="1524"/>
      <c r="V38" s="1524"/>
      <c r="W38" s="1524"/>
      <c r="X38" s="1524"/>
    </row>
    <row r="39" spans="1:24" hidden="1" x14ac:dyDescent="0.25">
      <c r="A39" s="1524"/>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row>
    <row r="40" spans="1:24" hidden="1" x14ac:dyDescent="0.25">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row>
    <row r="41" spans="1:24" hidden="1" x14ac:dyDescent="0.25">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row>
    <row r="42" spans="1:24" hidden="1" x14ac:dyDescent="0.25">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row>
    <row r="43" spans="1:24" hidden="1" x14ac:dyDescent="0.25">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row>
    <row r="44" spans="1:24" hidden="1" x14ac:dyDescent="0.25">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row>
    <row r="45" spans="1:24" hidden="1" x14ac:dyDescent="0.25">
      <c r="A45" s="1524"/>
      <c r="B45" s="1524"/>
      <c r="C45" s="1524"/>
      <c r="D45" s="1524"/>
      <c r="E45" s="1524"/>
      <c r="F45" s="1524"/>
      <c r="G45" s="1524"/>
      <c r="H45" s="1524"/>
      <c r="I45" s="1524"/>
      <c r="J45" s="1524"/>
      <c r="K45" s="1524"/>
      <c r="L45" s="1524"/>
      <c r="M45" s="1524"/>
      <c r="N45" s="1524"/>
      <c r="O45" s="1524"/>
      <c r="P45" s="1524"/>
      <c r="Q45" s="1524"/>
      <c r="R45" s="1524"/>
      <c r="S45" s="1524"/>
      <c r="T45" s="1524"/>
      <c r="U45" s="1524"/>
      <c r="V45" s="1524"/>
      <c r="W45" s="1524"/>
      <c r="X45" s="1524"/>
    </row>
    <row r="46" spans="1:24" hidden="1" x14ac:dyDescent="0.25">
      <c r="A46" s="1524"/>
      <c r="B46" s="1524"/>
      <c r="C46" s="1524"/>
      <c r="D46" s="1524"/>
      <c r="E46" s="1524"/>
      <c r="F46" s="1524"/>
      <c r="G46" s="1524"/>
      <c r="H46" s="1524"/>
      <c r="I46" s="1524"/>
      <c r="J46" s="1524"/>
      <c r="K46" s="1524"/>
      <c r="L46" s="1524"/>
      <c r="M46" s="1524"/>
      <c r="N46" s="1524"/>
      <c r="O46" s="1524"/>
      <c r="P46" s="1524"/>
      <c r="Q46" s="1524"/>
      <c r="R46" s="1524"/>
      <c r="S46" s="1524"/>
      <c r="T46" s="1524"/>
      <c r="U46" s="1524"/>
      <c r="V46" s="1524"/>
      <c r="W46" s="1524"/>
      <c r="X46" s="1524"/>
    </row>
    <row r="47" spans="1:24" hidden="1" x14ac:dyDescent="0.25">
      <c r="A47" s="1524"/>
      <c r="B47" s="1524"/>
      <c r="C47" s="1524"/>
      <c r="D47" s="1524"/>
      <c r="E47" s="1524"/>
      <c r="F47" s="1524"/>
      <c r="G47" s="1524"/>
      <c r="H47" s="1524"/>
      <c r="I47" s="1524"/>
      <c r="J47" s="1524"/>
      <c r="K47" s="1524"/>
      <c r="L47" s="1524"/>
      <c r="M47" s="1524"/>
      <c r="N47" s="1524"/>
      <c r="O47" s="1524"/>
      <c r="P47" s="1524"/>
      <c r="Q47" s="1524"/>
      <c r="R47" s="1524"/>
      <c r="S47" s="1524"/>
      <c r="T47" s="1524"/>
      <c r="U47" s="1524"/>
      <c r="V47" s="1524"/>
      <c r="W47" s="1524"/>
      <c r="X47" s="1524"/>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57" t="s">
        <v>1155</v>
      </c>
      <c r="B3" s="2457"/>
      <c r="C3" s="2457"/>
      <c r="D3" s="2457"/>
      <c r="E3" s="2457"/>
      <c r="F3" s="265"/>
      <c r="G3" s="266" t="s">
        <v>1156</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58" t="s">
        <v>829</v>
      </c>
      <c r="B4" s="2460" t="s">
        <v>1157</v>
      </c>
      <c r="C4" s="2464" t="s">
        <v>1301</v>
      </c>
      <c r="D4" s="2462" t="s">
        <v>1300</v>
      </c>
      <c r="E4" s="50"/>
      <c r="F4" s="50"/>
      <c r="G4" s="2502" t="s">
        <v>829</v>
      </c>
      <c r="H4" s="2501" t="s">
        <v>1157</v>
      </c>
      <c r="I4" s="2501" t="s">
        <v>488</v>
      </c>
      <c r="J4" s="2501"/>
      <c r="K4" s="2501" t="s">
        <v>489</v>
      </c>
      <c r="L4" s="2501"/>
      <c r="M4" s="2501" t="s">
        <v>490</v>
      </c>
      <c r="N4" s="2501"/>
      <c r="O4" s="2501" t="s">
        <v>491</v>
      </c>
      <c r="P4" s="2501"/>
      <c r="Q4" s="2501" t="s">
        <v>800</v>
      </c>
      <c r="R4" s="2501"/>
      <c r="S4" s="2501" t="s">
        <v>801</v>
      </c>
      <c r="T4" s="2501"/>
      <c r="U4" s="2501" t="s">
        <v>802</v>
      </c>
      <c r="V4" s="2501"/>
      <c r="W4" s="2501" t="s">
        <v>803</v>
      </c>
      <c r="X4" s="2501"/>
      <c r="Y4" s="2501" t="s">
        <v>804</v>
      </c>
      <c r="Z4" s="2501"/>
      <c r="AA4" s="2501" t="s">
        <v>482</v>
      </c>
      <c r="AB4" s="2501"/>
      <c r="AC4" s="2501" t="s">
        <v>486</v>
      </c>
      <c r="AD4" s="2501"/>
      <c r="AE4" s="2501" t="s">
        <v>487</v>
      </c>
      <c r="AF4" s="2501"/>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495"/>
      <c r="B5" s="2496"/>
      <c r="C5" s="2498"/>
      <c r="D5" s="2497"/>
      <c r="E5" s="50"/>
      <c r="F5" s="50"/>
      <c r="G5" s="2503"/>
      <c r="H5" s="2504"/>
      <c r="I5" s="269" t="s">
        <v>1301</v>
      </c>
      <c r="J5" s="270" t="s">
        <v>1300</v>
      </c>
      <c r="K5" s="269" t="s">
        <v>1301</v>
      </c>
      <c r="L5" s="270" t="s">
        <v>1300</v>
      </c>
      <c r="M5" s="269" t="s">
        <v>1301</v>
      </c>
      <c r="N5" s="270" t="s">
        <v>1300</v>
      </c>
      <c r="O5" s="269" t="s">
        <v>1301</v>
      </c>
      <c r="P5" s="270" t="s">
        <v>1300</v>
      </c>
      <c r="Q5" s="269" t="s">
        <v>1301</v>
      </c>
      <c r="R5" s="270" t="s">
        <v>1300</v>
      </c>
      <c r="S5" s="269" t="s">
        <v>1301</v>
      </c>
      <c r="T5" s="270" t="s">
        <v>1300</v>
      </c>
      <c r="U5" s="269" t="s">
        <v>1301</v>
      </c>
      <c r="V5" s="270" t="s">
        <v>1300</v>
      </c>
      <c r="W5" s="269" t="s">
        <v>1301</v>
      </c>
      <c r="X5" s="270" t="s">
        <v>1300</v>
      </c>
      <c r="Y5" s="269" t="s">
        <v>1301</v>
      </c>
      <c r="Z5" s="270" t="s">
        <v>1300</v>
      </c>
      <c r="AA5" s="269" t="s">
        <v>1301</v>
      </c>
      <c r="AB5" s="270" t="s">
        <v>1300</v>
      </c>
      <c r="AC5" s="269" t="s">
        <v>1301</v>
      </c>
      <c r="AD5" s="270" t="s">
        <v>1300</v>
      </c>
      <c r="AE5" s="269" t="s">
        <v>1301</v>
      </c>
      <c r="AF5" s="270" t="s">
        <v>1300</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1161</v>
      </c>
      <c r="B6" s="272" t="s">
        <v>837</v>
      </c>
      <c r="C6" s="273">
        <f ca="1">'Расчет базового уровня'!D6</f>
        <v>1579810.62</v>
      </c>
      <c r="D6" s="273">
        <f ca="1">D12+D15+D18</f>
        <v>1371261.1443649663</v>
      </c>
      <c r="E6" s="50"/>
      <c r="F6" s="50"/>
      <c r="G6" s="271" t="s">
        <v>1161</v>
      </c>
      <c r="H6" s="272" t="s">
        <v>837</v>
      </c>
      <c r="I6" s="274">
        <f ca="1">'Расчет базового уровня'!J6</f>
        <v>218282.45</v>
      </c>
      <c r="J6" s="274">
        <f ca="1">J12+J15+J18</f>
        <v>200072.08852494607</v>
      </c>
      <c r="K6" s="274">
        <f ca="1">'Расчет базового уровня'!M6</f>
        <v>194762.5</v>
      </c>
      <c r="L6" s="274">
        <f ca="1">L12+L15+L18</f>
        <v>184397.2258061379</v>
      </c>
      <c r="M6" s="274">
        <f ca="1">'Расчет базового уровня'!P6</f>
        <v>193884.73</v>
      </c>
      <c r="N6" s="274">
        <f ca="1">N12+N15+N18</f>
        <v>187138.83448050215</v>
      </c>
      <c r="O6" s="274">
        <f ca="1">'Расчет базового уровня'!S6</f>
        <v>162830.25</v>
      </c>
      <c r="P6" s="274">
        <f ca="1">P12+P15+P18</f>
        <v>117970.4887875852</v>
      </c>
      <c r="Q6" s="274">
        <f ca="1">'Расчет базового уровня'!V6</f>
        <v>77265.959999999992</v>
      </c>
      <c r="R6" s="274">
        <f ca="1">R12+R15+R18</f>
        <v>63154.751613789776</v>
      </c>
      <c r="S6" s="274">
        <f ca="1">'Расчет базового уровня'!Y6</f>
        <v>34584.270000000004</v>
      </c>
      <c r="T6" s="274">
        <f ca="1">T12+T15+T18</f>
        <v>40524.407666666666</v>
      </c>
      <c r="U6" s="274">
        <f ca="1">'Расчет базового уровня'!AB6</f>
        <v>18710.199999999997</v>
      </c>
      <c r="V6" s="274">
        <f ca="1">V12+V15+V18</f>
        <v>23223.619666666666</v>
      </c>
      <c r="W6" s="274">
        <f ca="1">'Расчет базового уровня'!AE6</f>
        <v>30813.56</v>
      </c>
      <c r="X6" s="274">
        <f ca="1">X12+X15+X18</f>
        <v>38110.019666666667</v>
      </c>
      <c r="Y6" s="274">
        <f ca="1">'Расчет базового уровня'!AH6</f>
        <v>80654.669999999984</v>
      </c>
      <c r="Z6" s="274">
        <f ca="1">Z12+Z15+Z18</f>
        <v>58267.299729537452</v>
      </c>
      <c r="AA6" s="274">
        <f ca="1">'Расчет базового уровня'!AK6</f>
        <v>181515.3</v>
      </c>
      <c r="AB6" s="274">
        <f ca="1">AB12+AB15+AB18</f>
        <v>122347.67877422458</v>
      </c>
      <c r="AC6" s="274">
        <f ca="1">'Расчет базового уровня'!AN6</f>
        <v>180809.85</v>
      </c>
      <c r="AD6" s="274">
        <f ca="1">AD12+AD15+AD18</f>
        <v>144245.88716766852</v>
      </c>
      <c r="AE6" s="274">
        <f ca="1">'Расчет базового уровня'!AQ6</f>
        <v>205696.88</v>
      </c>
      <c r="AF6" s="274">
        <f ca="1">AF12+AF15+AF18</f>
        <v>181319.28606021267</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1302</v>
      </c>
      <c r="B7" s="272" t="s">
        <v>837</v>
      </c>
      <c r="C7" s="276"/>
      <c r="D7" s="276">
        <f ca="1">C6-D6</f>
        <v>208549.4756350338</v>
      </c>
      <c r="E7" s="50"/>
      <c r="F7" s="50"/>
      <c r="G7" s="275" t="s">
        <v>1302</v>
      </c>
      <c r="H7" s="272" t="s">
        <v>837</v>
      </c>
      <c r="I7" s="276"/>
      <c r="J7" s="276">
        <f ca="1">I6-J6</f>
        <v>18210.361475053942</v>
      </c>
      <c r="K7" s="276"/>
      <c r="L7" s="276">
        <f ca="1">K6-L6</f>
        <v>10365.274193862104</v>
      </c>
      <c r="M7" s="276"/>
      <c r="N7" s="276">
        <f ca="1">M6-N6</f>
        <v>6745.8955194978626</v>
      </c>
      <c r="O7" s="276"/>
      <c r="P7" s="276">
        <f ca="1">O6-P6</f>
        <v>44859.7612124148</v>
      </c>
      <c r="Q7" s="276"/>
      <c r="R7" s="276">
        <f ca="1">Q6-R6</f>
        <v>14111.208386210215</v>
      </c>
      <c r="S7" s="276"/>
      <c r="T7" s="276">
        <f ca="1">S6-T6</f>
        <v>-5940.137666666662</v>
      </c>
      <c r="U7" s="276"/>
      <c r="V7" s="276">
        <f ca="1">U6-V6</f>
        <v>-4513.4196666666685</v>
      </c>
      <c r="W7" s="276"/>
      <c r="X7" s="276">
        <f ca="1">W6-X6</f>
        <v>-7296.4596666666657</v>
      </c>
      <c r="Y7" s="276"/>
      <c r="Z7" s="276">
        <f ca="1">Y6-Z6</f>
        <v>22387.370270462532</v>
      </c>
      <c r="AA7" s="276"/>
      <c r="AB7" s="276">
        <f ca="1">AA6-AB6</f>
        <v>59167.621225775409</v>
      </c>
      <c r="AC7" s="276"/>
      <c r="AD7" s="276">
        <f ca="1">AC6-AD6</f>
        <v>36563.962832331483</v>
      </c>
      <c r="AE7" s="276"/>
      <c r="AF7" s="276">
        <f ca="1">AE6-AF6</f>
        <v>24377.59393978733</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1164</v>
      </c>
      <c r="C8" s="278"/>
      <c r="D8" s="278">
        <f ca="1">D7/C6</f>
        <v>0.13200916172789989</v>
      </c>
      <c r="E8" s="50"/>
      <c r="F8" s="50"/>
      <c r="G8" s="275" t="s">
        <v>868</v>
      </c>
      <c r="H8" s="277" t="s">
        <v>1164</v>
      </c>
      <c r="I8" s="278"/>
      <c r="J8" s="278">
        <f ca="1">IF(I6=0,0,J7/I6)</f>
        <v>8.342567840453477E-2</v>
      </c>
      <c r="K8" s="278"/>
      <c r="L8" s="278">
        <f ca="1">IF(K6=0,0,L7/K6)</f>
        <v>5.322007159418319E-2</v>
      </c>
      <c r="M8" s="278"/>
      <c r="N8" s="278">
        <f ca="1">IF(M6=0,0,N7/M6)</f>
        <v>3.4793330653207513E-2</v>
      </c>
      <c r="O8" s="278"/>
      <c r="P8" s="278">
        <f ca="1">IF(O6=0,0,P7/O6)</f>
        <v>0.27550016788904275</v>
      </c>
      <c r="Q8" s="278"/>
      <c r="R8" s="278">
        <f ca="1">IF(Q6=0,0,R7/Q6)</f>
        <v>0.18263163217295453</v>
      </c>
      <c r="S8" s="278"/>
      <c r="T8" s="278">
        <f ca="1">IF(S6=0,0,T7/S6)</f>
        <v>-0.17175836490597202</v>
      </c>
      <c r="U8" s="278"/>
      <c r="V8" s="278">
        <f ca="1">IF(U6=0,0,V7/U6)</f>
        <v>-0.24122776168435769</v>
      </c>
      <c r="W8" s="278"/>
      <c r="X8" s="278">
        <f ca="1">IF(W6=0,0,X7/W6)</f>
        <v>-0.23679379035290521</v>
      </c>
      <c r="Y8" s="278"/>
      <c r="Z8" s="278">
        <f ca="1">IF(Y6=0,0,Z7/Y6)</f>
        <v>0.27757066355193738</v>
      </c>
      <c r="AA8" s="278"/>
      <c r="AB8" s="278">
        <f ca="1">IF(AA6=0,0,AB7/AA6)</f>
        <v>0.32596492541276362</v>
      </c>
      <c r="AC8" s="278"/>
      <c r="AD8" s="278">
        <f ca="1">IF(AC6=0,0,AD7/AC6)</f>
        <v>0.20222329055818297</v>
      </c>
      <c r="AE8" s="278"/>
      <c r="AF8" s="278">
        <f ca="1">IF(AE6=0,0,AF7/AE6)</f>
        <v>0.11851222021348758</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1165</v>
      </c>
      <c r="B9" s="272" t="s">
        <v>837</v>
      </c>
      <c r="C9" s="273">
        <f ca="1">'Расчет базового уровня'!D9</f>
        <v>1556954.62</v>
      </c>
      <c r="D9" s="273">
        <f ca="1">D12+D15</f>
        <v>1347269.6158538663</v>
      </c>
      <c r="E9" s="50"/>
      <c r="F9" s="50"/>
      <c r="G9" s="279" t="s">
        <v>1165</v>
      </c>
      <c r="H9" s="272" t="s">
        <v>837</v>
      </c>
      <c r="I9" s="274">
        <f ca="1">'Расчет базового уровня'!J9</f>
        <v>215329.45</v>
      </c>
      <c r="J9" s="274">
        <f ca="1">J12+J15</f>
        <v>197964.06539199391</v>
      </c>
      <c r="K9" s="274">
        <f ca="1">'Расчет базового уровня'!M9</f>
        <v>191313.5</v>
      </c>
      <c r="L9" s="274">
        <f ca="1">L12+L15</f>
        <v>182304.19168154447</v>
      </c>
      <c r="M9" s="274">
        <f ca="1">'Расчет базового уровня'!P9</f>
        <v>193883.73</v>
      </c>
      <c r="N9" s="274">
        <f ca="1">N12+N15</f>
        <v>185047.87478231487</v>
      </c>
      <c r="O9" s="274">
        <f ca="1">'Расчет базового уровня'!S9</f>
        <v>159040.25</v>
      </c>
      <c r="P9" s="274">
        <f ca="1">P12+P15</f>
        <v>115968.10354895453</v>
      </c>
      <c r="Q9" s="274">
        <f ca="1">'Расчет базового уровня'!V9</f>
        <v>76664.959999999992</v>
      </c>
      <c r="R9" s="274">
        <f ca="1">R12+R15</f>
        <v>61226.586133322635</v>
      </c>
      <c r="S9" s="274">
        <f ca="1">'Расчет базового уровня'!Y9</f>
        <v>32901.270000000004</v>
      </c>
      <c r="T9" s="274">
        <f ca="1">T12+T15</f>
        <v>38619.741000000002</v>
      </c>
      <c r="U9" s="274">
        <f ca="1">'Расчет базового уровня'!AB9</f>
        <v>16747.199999999997</v>
      </c>
      <c r="V9" s="274">
        <f ca="1">V12+V15</f>
        <v>21318.952999999998</v>
      </c>
      <c r="W9" s="274">
        <f ca="1">'Расчет базового уровня'!AE9</f>
        <v>29214.560000000001</v>
      </c>
      <c r="X9" s="274">
        <f ca="1">X12+X15</f>
        <v>36205.353000000003</v>
      </c>
      <c r="Y9" s="274">
        <f ca="1">'Расчет базового уровня'!AH9</f>
        <v>79188.669999999984</v>
      </c>
      <c r="Z9" s="274">
        <f ca="1">Z12+Z15</f>
        <v>56339.92873384741</v>
      </c>
      <c r="AA9" s="274">
        <f ca="1">'Расчет базового уровня'!AK9</f>
        <v>179218.3</v>
      </c>
      <c r="AB9" s="274">
        <f ca="1">AB12+AB15</f>
        <v>120344.2619152659</v>
      </c>
      <c r="AC9" s="274">
        <f ca="1">'Расчет базового уровня'!AN9</f>
        <v>177880.85</v>
      </c>
      <c r="AD9" s="274">
        <f ca="1">AD12+AD15</f>
        <v>142215.5016223409</v>
      </c>
      <c r="AE9" s="274">
        <f ca="1">'Расчет базового уровня'!AQ9</f>
        <v>205571.88</v>
      </c>
      <c r="AF9" s="274">
        <f ca="1">AF12+AF15</f>
        <v>179239.45468904599</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1302</v>
      </c>
      <c r="B10" s="272" t="s">
        <v>837</v>
      </c>
      <c r="C10" s="276"/>
      <c r="D10" s="276">
        <f ca="1">C9-D9</f>
        <v>209685.00414613378</v>
      </c>
      <c r="E10" s="50"/>
      <c r="F10" s="50"/>
      <c r="G10" s="275" t="s">
        <v>1302</v>
      </c>
      <c r="H10" s="272" t="s">
        <v>837</v>
      </c>
      <c r="I10" s="276"/>
      <c r="J10" s="276">
        <f ca="1">I9-J9</f>
        <v>17365.384608006105</v>
      </c>
      <c r="K10" s="276"/>
      <c r="L10" s="276">
        <f ca="1">K9-L9</f>
        <v>9009.3083184555289</v>
      </c>
      <c r="M10" s="276"/>
      <c r="N10" s="276">
        <f ca="1">M9-N9</f>
        <v>8835.8552176851372</v>
      </c>
      <c r="O10" s="276"/>
      <c r="P10" s="276">
        <f ca="1">O9-P9</f>
        <v>43072.146451045468</v>
      </c>
      <c r="Q10" s="276"/>
      <c r="R10" s="276">
        <f ca="1">Q9-R9</f>
        <v>15438.373866677357</v>
      </c>
      <c r="S10" s="276"/>
      <c r="T10" s="276">
        <f ca="1">S9-T9</f>
        <v>-5718.4709999999977</v>
      </c>
      <c r="U10" s="276"/>
      <c r="V10" s="276">
        <f ca="1">U9-V9</f>
        <v>-4571.7530000000006</v>
      </c>
      <c r="W10" s="276"/>
      <c r="X10" s="276">
        <f ca="1">W9-X9</f>
        <v>-6990.7930000000015</v>
      </c>
      <c r="Y10" s="276"/>
      <c r="Z10" s="276">
        <f ca="1">Y9-Z9</f>
        <v>22848.741266152574</v>
      </c>
      <c r="AA10" s="276"/>
      <c r="AB10" s="276">
        <f ca="1">AA9-AB9</f>
        <v>58874.038084734086</v>
      </c>
      <c r="AC10" s="276"/>
      <c r="AD10" s="276">
        <f ca="1">AC9-AD9</f>
        <v>35665.348377659102</v>
      </c>
      <c r="AE10" s="276"/>
      <c r="AF10" s="276">
        <f ca="1">AE9-AF9</f>
        <v>26332.425310954015</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1164</v>
      </c>
      <c r="C11" s="278"/>
      <c r="D11" s="278">
        <f ca="1">D10/C9</f>
        <v>0.13467637492615794</v>
      </c>
      <c r="E11" s="50"/>
      <c r="F11" s="50"/>
      <c r="G11" s="275" t="s">
        <v>868</v>
      </c>
      <c r="H11" s="277" t="s">
        <v>1164</v>
      </c>
      <c r="I11" s="278"/>
      <c r="J11" s="278">
        <f ca="1">IF(I9=0,0,J10/I9)</f>
        <v>8.0645655334215097E-2</v>
      </c>
      <c r="K11" s="278"/>
      <c r="L11" s="278">
        <f ca="1">IF(K9=0,0,L10/K9)</f>
        <v>4.709185874732065E-2</v>
      </c>
      <c r="M11" s="278"/>
      <c r="N11" s="278">
        <f ca="1">IF(M9=0,0,N10/M9)</f>
        <v>4.5572958688617847E-2</v>
      </c>
      <c r="O11" s="278"/>
      <c r="P11" s="278">
        <f ca="1">IF(O9=0,0,P10/O9)</f>
        <v>0.27082544482321591</v>
      </c>
      <c r="Q11" s="278"/>
      <c r="R11" s="278">
        <f ca="1">IF(Q9=0,0,R10/Q9)</f>
        <v>0.2013745766863683</v>
      </c>
      <c r="S11" s="278"/>
      <c r="T11" s="278">
        <f ca="1">IF(S9=0,0,T10/S9)</f>
        <v>-0.17380699893955454</v>
      </c>
      <c r="U11" s="278"/>
      <c r="V11" s="278">
        <f ca="1">IF(U9=0,0,V10/U9)</f>
        <v>-0.27298611111111121</v>
      </c>
      <c r="W11" s="278"/>
      <c r="X11" s="278">
        <f ca="1">IF(W9=0,0,X10/W9)</f>
        <v>-0.2392914012738854</v>
      </c>
      <c r="Y11" s="278"/>
      <c r="Z11" s="278">
        <f ca="1">IF(Y9=0,0,Z10/Y9)</f>
        <v>0.28853548451000099</v>
      </c>
      <c r="AA11" s="278"/>
      <c r="AB11" s="278">
        <f ca="1">IF(AA9=0,0,AB10/AA9)</f>
        <v>0.3285046118880387</v>
      </c>
      <c r="AC11" s="278"/>
      <c r="AD11" s="278">
        <f ca="1">IF(AC9=0,0,AD10/AC9)</f>
        <v>0.20050133770812936</v>
      </c>
      <c r="AE11" s="278"/>
      <c r="AF11" s="278">
        <f ca="1">IF(AE9=0,0,AF10/AE9)</f>
        <v>0.12809351799941712</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1168</v>
      </c>
      <c r="B12" s="272" t="s">
        <v>837</v>
      </c>
      <c r="C12" s="273">
        <f ca="1">'Расчет базового уровня'!D12</f>
        <v>1062027.1770000001</v>
      </c>
      <c r="D12" s="273">
        <f ca="1">D35</f>
        <v>852342.17285386636</v>
      </c>
      <c r="E12" s="50"/>
      <c r="F12" s="50"/>
      <c r="G12" s="280" t="s">
        <v>1168</v>
      </c>
      <c r="H12" s="272" t="s">
        <v>837</v>
      </c>
      <c r="I12" s="274">
        <f ca="1">'Расчет базового уровня'!J12</f>
        <v>170007.34</v>
      </c>
      <c r="J12" s="274">
        <f ca="1">J35</f>
        <v>152641.95539199392</v>
      </c>
      <c r="K12" s="274">
        <f ca="1">'Расчет базового уровня'!M12</f>
        <v>150400.323</v>
      </c>
      <c r="L12" s="274">
        <f ca="1">L35</f>
        <v>141391.01468154448</v>
      </c>
      <c r="M12" s="274">
        <f ca="1">'Расчет базового уровня'!P12</f>
        <v>148669.77900000001</v>
      </c>
      <c r="N12" s="274">
        <f ca="1">N35</f>
        <v>139833.92378231487</v>
      </c>
      <c r="O12" s="274">
        <f ca="1">'Расчет базового уровня'!S12</f>
        <v>116420.952</v>
      </c>
      <c r="P12" s="274">
        <f ca="1">P35</f>
        <v>73348.805548954537</v>
      </c>
      <c r="Q12" s="274">
        <f ca="1">'Расчет базового уровня'!V12</f>
        <v>33076.883000000002</v>
      </c>
      <c r="R12" s="274">
        <f ca="1">R35</f>
        <v>17638.509133322637</v>
      </c>
      <c r="S12" s="274">
        <f ca="1">'Расчет базового уровня'!Y12</f>
        <v>-5718.4709999999995</v>
      </c>
      <c r="T12" s="274">
        <f ca="1">T35</f>
        <v>0</v>
      </c>
      <c r="U12" s="274">
        <f ca="1">'Расчет базового уровня'!AB12</f>
        <v>-4571.7529999999997</v>
      </c>
      <c r="V12" s="274">
        <f ca="1">V35</f>
        <v>0</v>
      </c>
      <c r="W12" s="274">
        <f ca="1">'Расчет базового уровня'!AE12</f>
        <v>-6990.7930000000006</v>
      </c>
      <c r="X12" s="274">
        <f ca="1">X35</f>
        <v>0</v>
      </c>
      <c r="Y12" s="274">
        <f ca="1">'Расчет базового уровня'!AH12</f>
        <v>39890.899999999994</v>
      </c>
      <c r="Z12" s="274">
        <f ca="1">Z35</f>
        <v>17042.158733847416</v>
      </c>
      <c r="AA12" s="274">
        <f ca="1">'Расчет базового уровня'!AK12</f>
        <v>132997.19099999999</v>
      </c>
      <c r="AB12" s="274">
        <f ca="1">AB35</f>
        <v>74123.152915265891</v>
      </c>
      <c r="AC12" s="274">
        <f ca="1">'Расчет базового уровня'!AN12</f>
        <v>130031.541</v>
      </c>
      <c r="AD12" s="274">
        <f ca="1">AD35</f>
        <v>94366.19262234091</v>
      </c>
      <c r="AE12" s="274">
        <f ca="1">'Расчет базового уровня'!AQ12</f>
        <v>157813.285</v>
      </c>
      <c r="AF12" s="274">
        <f ca="1">AF35</f>
        <v>131480.85968904599</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1302</v>
      </c>
      <c r="B13" s="272" t="s">
        <v>837</v>
      </c>
      <c r="C13" s="276"/>
      <c r="D13" s="276">
        <f ca="1">C12-D12</f>
        <v>209685.00414613378</v>
      </c>
      <c r="E13" s="50"/>
      <c r="F13" s="50"/>
      <c r="G13" s="275" t="s">
        <v>1302</v>
      </c>
      <c r="H13" s="272" t="s">
        <v>837</v>
      </c>
      <c r="I13" s="276"/>
      <c r="J13" s="276">
        <f ca="1">I12-J12</f>
        <v>17365.384608006076</v>
      </c>
      <c r="K13" s="276"/>
      <c r="L13" s="276">
        <f ca="1">K12-L12</f>
        <v>9009.3083184555289</v>
      </c>
      <c r="M13" s="276"/>
      <c r="N13" s="276">
        <f ca="1">M12-N12</f>
        <v>8835.8552176851372</v>
      </c>
      <c r="O13" s="276"/>
      <c r="P13" s="276">
        <f ca="1">O12-P12</f>
        <v>43072.146451045468</v>
      </c>
      <c r="Q13" s="276"/>
      <c r="R13" s="276">
        <f ca="1">Q12-R12</f>
        <v>15438.373866677364</v>
      </c>
      <c r="S13" s="276"/>
      <c r="T13" s="276">
        <f ca="1">S12-T12</f>
        <v>-5718.4709999999995</v>
      </c>
      <c r="U13" s="276"/>
      <c r="V13" s="276">
        <f ca="1">U12-V12</f>
        <v>-4571.7529999999997</v>
      </c>
      <c r="W13" s="276"/>
      <c r="X13" s="276">
        <f ca="1">W12-X12</f>
        <v>-6990.7930000000006</v>
      </c>
      <c r="Y13" s="276"/>
      <c r="Z13" s="276">
        <f ca="1">Y12-Z12</f>
        <v>22848.741266152578</v>
      </c>
      <c r="AA13" s="276"/>
      <c r="AB13" s="276">
        <f ca="1">AA12-AB12</f>
        <v>58874.0380847341</v>
      </c>
      <c r="AC13" s="276"/>
      <c r="AD13" s="276">
        <f ca="1">AC12-AD12</f>
        <v>35665.348377659087</v>
      </c>
      <c r="AE13" s="276"/>
      <c r="AF13" s="276">
        <f ca="1">AE12-AF12</f>
        <v>26332.425310954015</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1164</v>
      </c>
      <c r="C14" s="278"/>
      <c r="D14" s="278">
        <f ca="1">D13/C12</f>
        <v>0.19743845420081349</v>
      </c>
      <c r="E14" s="50"/>
      <c r="F14" s="50"/>
      <c r="G14" s="275" t="s">
        <v>868</v>
      </c>
      <c r="H14" s="277" t="s">
        <v>1164</v>
      </c>
      <c r="I14" s="278"/>
      <c r="J14" s="278">
        <f ca="1">IF(I12=0,0,J13/I12)</f>
        <v>0.10214491096682106</v>
      </c>
      <c r="K14" s="278"/>
      <c r="L14" s="278">
        <f ca="1">IF(K12=0,0,L13/K12)</f>
        <v>5.9902187300857918E-2</v>
      </c>
      <c r="M14" s="278"/>
      <c r="N14" s="278">
        <f ca="1">IF(M12=0,0,N13/M12)</f>
        <v>5.9432759482915064E-2</v>
      </c>
      <c r="O14" s="278"/>
      <c r="P14" s="278">
        <f ca="1">IF(O12=0,0,P13/O12)</f>
        <v>0.3699690280066209</v>
      </c>
      <c r="Q14" s="278"/>
      <c r="R14" s="278">
        <f ca="1">IF(Q12=0,0,R13/Q12)</f>
        <v>0.46674210102195435</v>
      </c>
      <c r="S14" s="278"/>
      <c r="T14" s="278">
        <f ca="1">IF(S12=0,0,T13/S12)</f>
        <v>1</v>
      </c>
      <c r="U14" s="278"/>
      <c r="V14" s="278">
        <f ca="1">IF(U12=0,0,V13/U12)</f>
        <v>1</v>
      </c>
      <c r="W14" s="278"/>
      <c r="X14" s="278">
        <f ca="1">IF(W12=0,0,X13/W12)</f>
        <v>1</v>
      </c>
      <c r="Y14" s="278"/>
      <c r="Z14" s="278">
        <f ca="1">IF(Y12=0,0,Z13/Y12)</f>
        <v>0.57278079126198156</v>
      </c>
      <c r="AA14" s="278"/>
      <c r="AB14" s="278">
        <f ca="1">IF(AA12=0,0,AB13/AA12)</f>
        <v>0.44267128983749815</v>
      </c>
      <c r="AC14" s="278"/>
      <c r="AD14" s="278">
        <f ca="1">IF(AC12=0,0,AD13/AC12)</f>
        <v>0.27428228646201375</v>
      </c>
      <c r="AE14" s="278"/>
      <c r="AF14" s="278">
        <f ca="1">IF(AE12=0,0,AF13/AE12)</f>
        <v>0.16685810266831475</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982</v>
      </c>
      <c r="B15" s="272" t="s">
        <v>837</v>
      </c>
      <c r="C15" s="273">
        <f ca="1">'Расчет базового уровня'!D15</f>
        <v>494927.44299999997</v>
      </c>
      <c r="D15" s="274">
        <f ca="1">D85</f>
        <v>494927.44300000003</v>
      </c>
      <c r="E15" s="50"/>
      <c r="F15" s="50"/>
      <c r="G15" s="280" t="s">
        <v>982</v>
      </c>
      <c r="H15" s="272" t="s">
        <v>837</v>
      </c>
      <c r="I15" s="274">
        <f ca="1">'Расчет базового уровня'!J15</f>
        <v>45322.11</v>
      </c>
      <c r="J15" s="274">
        <f ca="1">J85</f>
        <v>45322.11</v>
      </c>
      <c r="K15" s="274">
        <f ca="1">'Расчет базового уровня'!M15</f>
        <v>40913.177000000003</v>
      </c>
      <c r="L15" s="274">
        <f ca="1">L85</f>
        <v>40913.177000000003</v>
      </c>
      <c r="M15" s="274">
        <f ca="1">'Расчет базового уровня'!P15</f>
        <v>45213.951000000001</v>
      </c>
      <c r="N15" s="274">
        <f ca="1">N85</f>
        <v>45213.951000000001</v>
      </c>
      <c r="O15" s="274">
        <f ca="1">'Расчет базового уровня'!S15</f>
        <v>42619.298000000003</v>
      </c>
      <c r="P15" s="274">
        <f ca="1">P85</f>
        <v>42619.298000000003</v>
      </c>
      <c r="Q15" s="274">
        <f ca="1">'Расчет базового уровня'!V15</f>
        <v>43588.076999999997</v>
      </c>
      <c r="R15" s="274">
        <f ca="1">R85</f>
        <v>43588.076999999997</v>
      </c>
      <c r="S15" s="274">
        <f ca="1">'Расчет базового уровня'!Y15</f>
        <v>38619.741000000002</v>
      </c>
      <c r="T15" s="274">
        <f ca="1">T85</f>
        <v>38619.741000000002</v>
      </c>
      <c r="U15" s="274">
        <f ca="1">'Расчет базового уровня'!AB15</f>
        <v>21318.952999999998</v>
      </c>
      <c r="V15" s="274">
        <f ca="1">V85</f>
        <v>21318.952999999998</v>
      </c>
      <c r="W15" s="274">
        <f ca="1">'Расчет базового уровня'!AE15</f>
        <v>36205.353000000003</v>
      </c>
      <c r="X15" s="274">
        <f ca="1">X85</f>
        <v>36205.353000000003</v>
      </c>
      <c r="Y15" s="274">
        <f ca="1">'Расчет базового уровня'!AH15</f>
        <v>39297.769999999997</v>
      </c>
      <c r="Z15" s="274">
        <f ca="1">Z85</f>
        <v>39297.769999999997</v>
      </c>
      <c r="AA15" s="274">
        <f ca="1">'Расчет базового уровня'!AK15</f>
        <v>46221.109000000004</v>
      </c>
      <c r="AB15" s="274">
        <f ca="1">AB85</f>
        <v>46221.109000000004</v>
      </c>
      <c r="AC15" s="274">
        <f ca="1">'Расчет базового уровня'!AN15</f>
        <v>47849.309000000001</v>
      </c>
      <c r="AD15" s="274">
        <f ca="1">AD85</f>
        <v>47849.309000000001</v>
      </c>
      <c r="AE15" s="274">
        <f ca="1">'Расчет базового уровня'!AQ15</f>
        <v>47758.594999999994</v>
      </c>
      <c r="AF15" s="274">
        <f ca="1">AF85</f>
        <v>47758.594999999994</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1302</v>
      </c>
      <c r="B16" s="272" t="s">
        <v>837</v>
      </c>
      <c r="C16" s="276"/>
      <c r="D16" s="276">
        <f ca="1">C15-D15</f>
        <v>0</v>
      </c>
      <c r="E16" s="50"/>
      <c r="F16" s="50"/>
      <c r="G16" s="275" t="s">
        <v>1302</v>
      </c>
      <c r="H16" s="272" t="s">
        <v>837</v>
      </c>
      <c r="I16" s="276"/>
      <c r="J16" s="276">
        <f ca="1">I15-J15</f>
        <v>0</v>
      </c>
      <c r="K16" s="276"/>
      <c r="L16" s="276">
        <f ca="1">K15-L15</f>
        <v>0</v>
      </c>
      <c r="M16" s="276"/>
      <c r="N16" s="276">
        <f ca="1">M15-N15</f>
        <v>0</v>
      </c>
      <c r="O16" s="276"/>
      <c r="P16" s="276">
        <f ca="1">O15-P15</f>
        <v>0</v>
      </c>
      <c r="Q16" s="276"/>
      <c r="R16" s="276">
        <f ca="1">Q15-R15</f>
        <v>0</v>
      </c>
      <c r="S16" s="276"/>
      <c r="T16" s="276">
        <f ca="1">S15-T15</f>
        <v>0</v>
      </c>
      <c r="U16" s="276"/>
      <c r="V16" s="276">
        <f ca="1">U15-V15</f>
        <v>0</v>
      </c>
      <c r="W16" s="276"/>
      <c r="X16" s="276">
        <f ca="1">W15-X15</f>
        <v>0</v>
      </c>
      <c r="Y16" s="276"/>
      <c r="Z16" s="276">
        <f ca="1">Y15-Z15</f>
        <v>0</v>
      </c>
      <c r="AA16" s="276"/>
      <c r="AB16" s="276">
        <f ca="1">AA15-AB15</f>
        <v>0</v>
      </c>
      <c r="AC16" s="276"/>
      <c r="AD16" s="276">
        <f ca="1">AC15-AD15</f>
        <v>0</v>
      </c>
      <c r="AE16" s="276"/>
      <c r="AF16" s="276">
        <f ca="1">AE15-AF15</f>
        <v>0</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1164</v>
      </c>
      <c r="C17" s="278"/>
      <c r="D17" s="278">
        <f ca="1">D16/C15</f>
        <v>0</v>
      </c>
      <c r="E17" s="50"/>
      <c r="F17" s="50"/>
      <c r="G17" s="275" t="s">
        <v>868</v>
      </c>
      <c r="H17" s="277" t="s">
        <v>1164</v>
      </c>
      <c r="I17" s="278"/>
      <c r="J17" s="278">
        <f ca="1">IF(I15=0,0,J16/I15)</f>
        <v>0</v>
      </c>
      <c r="K17" s="278"/>
      <c r="L17" s="278">
        <f ca="1">IF(K15=0,0,L16/K15)</f>
        <v>0</v>
      </c>
      <c r="M17" s="278"/>
      <c r="N17" s="278">
        <f ca="1">IF(M15=0,0,N16/M15)</f>
        <v>0</v>
      </c>
      <c r="O17" s="278"/>
      <c r="P17" s="278">
        <f ca="1">IF(O15=0,0,P16/O15)</f>
        <v>0</v>
      </c>
      <c r="Q17" s="278"/>
      <c r="R17" s="278">
        <f ca="1">IF(Q15=0,0,R16/Q15)</f>
        <v>0</v>
      </c>
      <c r="S17" s="278"/>
      <c r="T17" s="278">
        <f ca="1">IF(S15=0,0,T16/S15)</f>
        <v>0</v>
      </c>
      <c r="U17" s="278"/>
      <c r="V17" s="278">
        <f ca="1">IF(U15=0,0,V16/U15)</f>
        <v>0</v>
      </c>
      <c r="W17" s="278"/>
      <c r="X17" s="278">
        <f ca="1">IF(W15=0,0,X16/W15)</f>
        <v>0</v>
      </c>
      <c r="Y17" s="278"/>
      <c r="Z17" s="278">
        <f ca="1">IF(Y15=0,0,Z16/Y15)</f>
        <v>0</v>
      </c>
      <c r="AA17" s="278"/>
      <c r="AB17" s="278">
        <f ca="1">IF(AA15=0,0,AB16/AA15)</f>
        <v>0</v>
      </c>
      <c r="AC17" s="278"/>
      <c r="AD17" s="278">
        <f ca="1">IF(AC15=0,0,AD16/AC15)</f>
        <v>0</v>
      </c>
      <c r="AE17" s="278"/>
      <c r="AF17" s="278">
        <f ca="1">IF(AE15=0,0,AF16/AE15)</f>
        <v>0</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1171</v>
      </c>
      <c r="B18" s="272" t="s">
        <v>837</v>
      </c>
      <c r="C18" s="273">
        <f>'Расчет базового уровня'!D18</f>
        <v>22856</v>
      </c>
      <c r="D18" s="273">
        <f ca="1">D100</f>
        <v>23991.528511100008</v>
      </c>
      <c r="E18" s="50"/>
      <c r="F18" s="50"/>
      <c r="G18" s="271" t="s">
        <v>1171</v>
      </c>
      <c r="H18" s="272" t="s">
        <v>837</v>
      </c>
      <c r="I18" s="274">
        <f>'Расчет базового уровня'!J18</f>
        <v>2953</v>
      </c>
      <c r="J18" s="274">
        <f ca="1">J100</f>
        <v>2108.0231329521639</v>
      </c>
      <c r="K18" s="274">
        <f>'Расчет базового уровня'!M18</f>
        <v>3449</v>
      </c>
      <c r="L18" s="274">
        <f ca="1">L100</f>
        <v>2093.0341245934264</v>
      </c>
      <c r="M18" s="274">
        <f>'Расчет базового уровня'!P18</f>
        <v>1</v>
      </c>
      <c r="N18" s="274">
        <f ca="1">N100</f>
        <v>2090.9596981872692</v>
      </c>
      <c r="O18" s="274">
        <f>'Расчет базового уровня'!S18</f>
        <v>3789.9999999999995</v>
      </c>
      <c r="P18" s="274">
        <f ca="1">P100</f>
        <v>2002.3852386306617</v>
      </c>
      <c r="Q18" s="274">
        <f>'Расчет базового уровня'!V18</f>
        <v>601</v>
      </c>
      <c r="R18" s="274">
        <f ca="1">R100</f>
        <v>1928.1654804671423</v>
      </c>
      <c r="S18" s="274">
        <f>'Расчет базового уровня'!Y18</f>
        <v>1683</v>
      </c>
      <c r="T18" s="274">
        <f ca="1">T100</f>
        <v>1904.6666666666667</v>
      </c>
      <c r="U18" s="274">
        <f>'Расчет базового уровня'!AB18</f>
        <v>1963</v>
      </c>
      <c r="V18" s="274">
        <f ca="1">V100</f>
        <v>1904.6666666666667</v>
      </c>
      <c r="W18" s="274">
        <f>'Расчет базового уровня'!AE18</f>
        <v>1598.9999999999998</v>
      </c>
      <c r="X18" s="274">
        <f ca="1">X100</f>
        <v>1904.6666666666667</v>
      </c>
      <c r="Y18" s="274">
        <f>'Расчет базового уровня'!AH18</f>
        <v>1466.0000000000002</v>
      </c>
      <c r="Z18" s="274">
        <f ca="1">Z100</f>
        <v>1927.3709956900454</v>
      </c>
      <c r="AA18" s="274">
        <f>'Расчет базового уровня'!AK18</f>
        <v>2297</v>
      </c>
      <c r="AB18" s="274">
        <f ca="1">AB100</f>
        <v>2003.4168589586782</v>
      </c>
      <c r="AC18" s="274">
        <f>'Расчет базового уровня'!AN18</f>
        <v>2929.0000000000005</v>
      </c>
      <c r="AD18" s="274">
        <f ca="1">AD100</f>
        <v>2030.385545327614</v>
      </c>
      <c r="AE18" s="274">
        <f>'Расчет базового уровня'!AQ18</f>
        <v>125</v>
      </c>
      <c r="AF18" s="274">
        <f ca="1">AF100</f>
        <v>2079.8313711666856</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1302</v>
      </c>
      <c r="B19" s="272" t="s">
        <v>837</v>
      </c>
      <c r="C19" s="276"/>
      <c r="D19" s="276">
        <f ca="1">C18-D18</f>
        <v>-1135.5285111000085</v>
      </c>
      <c r="E19" s="50"/>
      <c r="F19" s="50"/>
      <c r="G19" s="275" t="s">
        <v>1302</v>
      </c>
      <c r="H19" s="272" t="s">
        <v>837</v>
      </c>
      <c r="I19" s="276"/>
      <c r="J19" s="276">
        <f ca="1">I18-J18</f>
        <v>844.97686704783609</v>
      </c>
      <c r="K19" s="276"/>
      <c r="L19" s="276">
        <f ca="1">K18-L18</f>
        <v>1355.9658754065736</v>
      </c>
      <c r="M19" s="276"/>
      <c r="N19" s="276">
        <f ca="1">M18-N18</f>
        <v>-2089.9596981872692</v>
      </c>
      <c r="O19" s="276"/>
      <c r="P19" s="276">
        <f ca="1">O18-P18</f>
        <v>1787.6147613693379</v>
      </c>
      <c r="Q19" s="276"/>
      <c r="R19" s="276">
        <f ca="1">Q18-R18</f>
        <v>-1327.1654804671423</v>
      </c>
      <c r="S19" s="276"/>
      <c r="T19" s="276">
        <f ca="1">S18-T18</f>
        <v>-221.66666666666674</v>
      </c>
      <c r="U19" s="276"/>
      <c r="V19" s="276">
        <f ca="1">U18-V18</f>
        <v>58.333333333333258</v>
      </c>
      <c r="W19" s="276"/>
      <c r="X19" s="276">
        <f ca="1">W18-X18</f>
        <v>-305.66666666666697</v>
      </c>
      <c r="Y19" s="276"/>
      <c r="Z19" s="276">
        <f ca="1">Y18-Z18</f>
        <v>-461.37099569004522</v>
      </c>
      <c r="AA19" s="276"/>
      <c r="AB19" s="276">
        <f ca="1">AA18-AB18</f>
        <v>293.58314104132182</v>
      </c>
      <c r="AC19" s="276"/>
      <c r="AD19" s="276">
        <f ca="1">AC18-AD18</f>
        <v>898.6144546723865</v>
      </c>
      <c r="AE19" s="276"/>
      <c r="AF19" s="276">
        <f ca="1">AE18-AF18</f>
        <v>-1954.8313711666856</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1164</v>
      </c>
      <c r="C20" s="278"/>
      <c r="D20" s="278">
        <f ca="1">D19/C18</f>
        <v>-4.9681856453448046E-2</v>
      </c>
      <c r="E20" s="50"/>
      <c r="F20" s="50"/>
      <c r="G20" s="275" t="s">
        <v>868</v>
      </c>
      <c r="H20" s="277" t="s">
        <v>1164</v>
      </c>
      <c r="I20" s="278"/>
      <c r="J20" s="278">
        <f ca="1">IF(I18=0,0,J19/I18)</f>
        <v>0.28614184458104847</v>
      </c>
      <c r="K20" s="278"/>
      <c r="L20" s="278">
        <f ca="1">IF(K18=0,0,L19/K18)</f>
        <v>0.39314754288390069</v>
      </c>
      <c r="M20" s="278"/>
      <c r="N20" s="278">
        <f ca="1">IF(M18=0,0,N19/M18)</f>
        <v>-2089.9596981872692</v>
      </c>
      <c r="O20" s="278"/>
      <c r="P20" s="278">
        <f ca="1">IF(O18=0,0,P19/O18)</f>
        <v>0.47166616394969341</v>
      </c>
      <c r="Q20" s="278"/>
      <c r="R20" s="278">
        <f ca="1">IF(Q18=0,0,R19/Q18)</f>
        <v>-2.2082620307273584</v>
      </c>
      <c r="S20" s="278"/>
      <c r="T20" s="278">
        <f ca="1">IF(S18=0,0,T19/S18)</f>
        <v>-0.13170924935630823</v>
      </c>
      <c r="U20" s="278"/>
      <c r="V20" s="278">
        <f ca="1">IF(U18=0,0,V19/U18)</f>
        <v>2.9716420444897227E-2</v>
      </c>
      <c r="W20" s="278"/>
      <c r="X20" s="278">
        <f ca="1">IF(W18=0,0,X19/W18)</f>
        <v>-0.19116114238065479</v>
      </c>
      <c r="Y20" s="278"/>
      <c r="Z20" s="278">
        <f ca="1">IF(Y18=0,0,Z19/Y18)</f>
        <v>-0.31471418532745238</v>
      </c>
      <c r="AA20" s="278"/>
      <c r="AB20" s="278">
        <f ca="1">IF(AA18=0,0,AB19/AA18)</f>
        <v>0.12781155465447183</v>
      </c>
      <c r="AC20" s="278"/>
      <c r="AD20" s="278">
        <f ca="1">IF(AC18=0,0,AD19/AC18)</f>
        <v>0.30679906270822338</v>
      </c>
      <c r="AE20" s="278"/>
      <c r="AF20" s="278">
        <f ca="1">IF(AE18=0,0,AF19/AE18)</f>
        <v>-15.638650969333485</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1172</v>
      </c>
      <c r="B23" s="272" t="s">
        <v>1173</v>
      </c>
      <c r="C23" s="273">
        <f ca="1">'Расчет базового уровня'!D23</f>
        <v>349.60844029388335</v>
      </c>
      <c r="D23" s="273">
        <f ca="1">D6/('Ввод исходных данных'!$G$56+'Ввод исходных данных'!$D$23)</f>
        <v>303.45692315768929</v>
      </c>
      <c r="E23" s="50"/>
      <c r="F23" s="50"/>
      <c r="G23" s="283" t="s">
        <v>1172</v>
      </c>
      <c r="H23" s="272" t="s">
        <v>1173</v>
      </c>
      <c r="I23" s="274">
        <f>'Расчет базового уровня'!J23</f>
        <v>0</v>
      </c>
      <c r="J23" s="274">
        <f ca="1">J6/'Ввод исходных данных'!$G$55</f>
        <v>34.680549232959969</v>
      </c>
      <c r="K23" s="274">
        <f>'Расчет базового уровня'!M23</f>
        <v>0</v>
      </c>
      <c r="L23" s="274">
        <f ca="1">L6/'Ввод исходных данных'!$G$55</f>
        <v>31.963464344971033</v>
      </c>
      <c r="M23" s="274">
        <f>'Расчет базового уровня'!P23</f>
        <v>0</v>
      </c>
      <c r="N23" s="274">
        <f ca="1">N6/'Ввод исходных данных'!$G$55</f>
        <v>32.43869552444135</v>
      </c>
      <c r="O23" s="274">
        <f>'Расчет базового уровня'!S23</f>
        <v>0</v>
      </c>
      <c r="P23" s="274">
        <f ca="1">P6/'Ввод исходных данных'!$G$55</f>
        <v>20.449036017955486</v>
      </c>
      <c r="Q23" s="274">
        <f>'Расчет базового уровня'!V23</f>
        <v>0</v>
      </c>
      <c r="R23" s="274">
        <f ca="1">R6/'Ввод исходных данных'!$G$55</f>
        <v>10.947261503517035</v>
      </c>
      <c r="S23" s="274">
        <f>'Расчет базового уровня'!Y23</f>
        <v>0</v>
      </c>
      <c r="T23" s="274">
        <f ca="1">T6/'Ввод исходных данных'!$G$55</f>
        <v>7.0245116426879299</v>
      </c>
      <c r="U23" s="274">
        <f>'Расчет базового уровня'!AB23</f>
        <v>0</v>
      </c>
      <c r="V23" s="274">
        <f ca="1">V6/'Ввод исходных данных'!$G$55</f>
        <v>4.0255884324261855</v>
      </c>
      <c r="W23" s="274">
        <f>'Расчет базового уровня'!AE23</f>
        <v>0</v>
      </c>
      <c r="X23" s="274">
        <f ca="1">X6/'Ввод исходных данных'!$G$55</f>
        <v>6.6060009822615129</v>
      </c>
      <c r="Y23" s="274">
        <f>'Расчет базового уровня'!AH23</f>
        <v>0</v>
      </c>
      <c r="Z23" s="274">
        <f ca="1">Z6/'Ввод исходных данных'!$G$55</f>
        <v>10.100069289224727</v>
      </c>
      <c r="AA23" s="274">
        <f>'Расчет базового уровня'!AK23</f>
        <v>0</v>
      </c>
      <c r="AB23" s="274">
        <f ca="1">AB6/'Ввод исходных данных'!$G$55</f>
        <v>21.20777929870421</v>
      </c>
      <c r="AC23" s="274">
        <f>'Расчет базового уровня'!AN23</f>
        <v>0</v>
      </c>
      <c r="AD23" s="274">
        <f ca="1">AD6/'Ввод исходных данных'!$G$55</f>
        <v>25.003620587219366</v>
      </c>
      <c r="AE23" s="274">
        <f>'Расчет базового уровня'!AQ23</f>
        <v>0</v>
      </c>
      <c r="AF23" s="274">
        <f ca="1">AF6/'Ввод исходных данных'!$G$55</f>
        <v>31.429933447774776</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1174</v>
      </c>
      <c r="C24" s="276"/>
      <c r="D24" s="284">
        <f ca="1">D7*1000/('Ввод исходных данных'!$G$56+'Ввод исходных данных'!$D$23)</f>
        <v>46151.517136194074</v>
      </c>
      <c r="E24" s="50"/>
      <c r="F24" s="50"/>
      <c r="G24" s="275" t="s">
        <v>868</v>
      </c>
      <c r="H24" s="277" t="s">
        <v>1174</v>
      </c>
      <c r="I24" s="71"/>
      <c r="J24" s="261">
        <f ca="1">0.123*J23</f>
        <v>4.2657075556540764</v>
      </c>
      <c r="K24" s="71"/>
      <c r="L24" s="261">
        <f ca="1">0.123*L23</f>
        <v>3.9315061144314369</v>
      </c>
      <c r="M24" s="71"/>
      <c r="N24" s="261">
        <f ca="1">0.123*N23</f>
        <v>3.9899595495062861</v>
      </c>
      <c r="O24" s="71"/>
      <c r="P24" s="261">
        <f ca="1">0.123*P23</f>
        <v>2.5152314302085248</v>
      </c>
      <c r="Q24" s="71"/>
      <c r="R24" s="261">
        <f ca="1">0.123*R23</f>
        <v>1.3465131649325954</v>
      </c>
      <c r="S24" s="71"/>
      <c r="T24" s="261">
        <f ca="1">0.123*T23</f>
        <v>0.86401493205061541</v>
      </c>
      <c r="U24" s="71"/>
      <c r="V24" s="261">
        <f ca="1">0.123*V23</f>
        <v>0.49514737718842078</v>
      </c>
      <c r="W24" s="71"/>
      <c r="X24" s="261">
        <f ca="1">0.123*X23</f>
        <v>0.81253812081816612</v>
      </c>
      <c r="Y24" s="71"/>
      <c r="Z24" s="261">
        <f ca="1">0.123*Z23</f>
        <v>1.2423085225746415</v>
      </c>
      <c r="AA24" s="71"/>
      <c r="AB24" s="261">
        <f ca="1">0.123*AB23</f>
        <v>2.6085568537406179</v>
      </c>
      <c r="AC24" s="71"/>
      <c r="AD24" s="261">
        <f ca="1">0.123*AD23</f>
        <v>3.0754453322279822</v>
      </c>
      <c r="AE24" s="71"/>
      <c r="AF24" s="261">
        <f ca="1">0.123*AF23</f>
        <v>3.8658818140762974</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1215</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852342.17285386636</v>
      </c>
      <c r="C27" s="285">
        <f ca="1">D18</f>
        <v>23991.528511100008</v>
      </c>
      <c r="D27" s="285">
        <f ca="1">D15</f>
        <v>494927.44300000003</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 ca="1">C12</f>
        <v>1062027.1770000001</v>
      </c>
      <c r="C28" s="285">
        <f>C18</f>
        <v>22856</v>
      </c>
      <c r="D28" s="285">
        <f ca="1">C15</f>
        <v>494927.44299999997</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74" t="s">
        <v>1175</v>
      </c>
      <c r="B32" s="2474"/>
      <c r="C32" s="2474"/>
      <c r="D32" s="2474"/>
      <c r="E32" s="50"/>
      <c r="F32" s="50"/>
      <c r="G32" s="286" t="s">
        <v>1176</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83" t="s">
        <v>829</v>
      </c>
      <c r="B33" s="2460" t="s">
        <v>1157</v>
      </c>
      <c r="C33" s="2464" t="s">
        <v>1301</v>
      </c>
      <c r="D33" s="2462" t="s">
        <v>1300</v>
      </c>
      <c r="E33" s="50"/>
      <c r="F33" s="50"/>
      <c r="G33" s="2499" t="s">
        <v>829</v>
      </c>
      <c r="H33" s="2481" t="s">
        <v>1157</v>
      </c>
      <c r="I33" s="2491" t="s">
        <v>488</v>
      </c>
      <c r="J33" s="2492"/>
      <c r="K33" s="2491" t="s">
        <v>489</v>
      </c>
      <c r="L33" s="2492"/>
      <c r="M33" s="2491" t="s">
        <v>490</v>
      </c>
      <c r="N33" s="2492"/>
      <c r="O33" s="2491" t="s">
        <v>491</v>
      </c>
      <c r="P33" s="2492"/>
      <c r="Q33" s="2491" t="s">
        <v>800</v>
      </c>
      <c r="R33" s="2492"/>
      <c r="S33" s="2491" t="s">
        <v>801</v>
      </c>
      <c r="T33" s="2492"/>
      <c r="U33" s="2491" t="s">
        <v>802</v>
      </c>
      <c r="V33" s="2492"/>
      <c r="W33" s="2491" t="s">
        <v>803</v>
      </c>
      <c r="X33" s="2492"/>
      <c r="Y33" s="2491" t="s">
        <v>804</v>
      </c>
      <c r="Z33" s="2492"/>
      <c r="AA33" s="2491" t="s">
        <v>482</v>
      </c>
      <c r="AB33" s="2492"/>
      <c r="AC33" s="2491" t="s">
        <v>486</v>
      </c>
      <c r="AD33" s="2492"/>
      <c r="AE33" s="2491" t="s">
        <v>487</v>
      </c>
      <c r="AF33" s="2492"/>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84"/>
      <c r="B34" s="2461"/>
      <c r="C34" s="2498"/>
      <c r="D34" s="2497"/>
      <c r="E34" s="50"/>
      <c r="F34" s="50"/>
      <c r="G34" s="2500"/>
      <c r="H34" s="2482"/>
      <c r="I34" s="287" t="s">
        <v>1301</v>
      </c>
      <c r="J34" s="288" t="s">
        <v>1300</v>
      </c>
      <c r="K34" s="287" t="s">
        <v>1301</v>
      </c>
      <c r="L34" s="288" t="s">
        <v>1300</v>
      </c>
      <c r="M34" s="287" t="s">
        <v>1301</v>
      </c>
      <c r="N34" s="288" t="s">
        <v>1300</v>
      </c>
      <c r="O34" s="287" t="s">
        <v>1301</v>
      </c>
      <c r="P34" s="288" t="s">
        <v>1300</v>
      </c>
      <c r="Q34" s="287" t="s">
        <v>1301</v>
      </c>
      <c r="R34" s="288" t="s">
        <v>1300</v>
      </c>
      <c r="S34" s="287" t="s">
        <v>1301</v>
      </c>
      <c r="T34" s="288" t="s">
        <v>1300</v>
      </c>
      <c r="U34" s="287" t="s">
        <v>1301</v>
      </c>
      <c r="V34" s="288" t="s">
        <v>1300</v>
      </c>
      <c r="W34" s="287" t="s">
        <v>1301</v>
      </c>
      <c r="X34" s="288" t="s">
        <v>1300</v>
      </c>
      <c r="Y34" s="287" t="s">
        <v>1301</v>
      </c>
      <c r="Z34" s="288" t="s">
        <v>1300</v>
      </c>
      <c r="AA34" s="287" t="s">
        <v>1301</v>
      </c>
      <c r="AB34" s="288" t="s">
        <v>1300</v>
      </c>
      <c r="AC34" s="287" t="s">
        <v>1301</v>
      </c>
      <c r="AD34" s="288" t="s">
        <v>1300</v>
      </c>
      <c r="AE34" s="287" t="s">
        <v>1301</v>
      </c>
      <c r="AF34" s="288" t="s">
        <v>1300</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1177</v>
      </c>
      <c r="B35" s="290" t="s">
        <v>837</v>
      </c>
      <c r="C35" s="291">
        <f ca="1">'Расчет базового уровня'!D35</f>
        <v>1062027.1770000001</v>
      </c>
      <c r="D35" s="292">
        <f ca="1">D38+D62+D65+D68-D71</f>
        <v>852342.17285386636</v>
      </c>
      <c r="E35" s="50"/>
      <c r="F35" s="50"/>
      <c r="G35" s="293" t="s">
        <v>1175</v>
      </c>
      <c r="H35" s="294" t="s">
        <v>837</v>
      </c>
      <c r="I35" s="291">
        <f ca="1">'Расчет базового уровня'!J35</f>
        <v>170007.34</v>
      </c>
      <c r="J35" s="295">
        <f ca="1">J38+J62+J65+J68-J71</f>
        <v>152641.95539199392</v>
      </c>
      <c r="K35" s="291">
        <f ca="1">'Расчет базового уровня'!M35</f>
        <v>150400.323</v>
      </c>
      <c r="L35" s="296">
        <f ca="1">L38+L62+L65+L68-L71</f>
        <v>141391.01468154448</v>
      </c>
      <c r="M35" s="291">
        <f ca="1">'Расчет базового уровня'!P35</f>
        <v>148669.77900000001</v>
      </c>
      <c r="N35" s="295">
        <f ca="1">N38+N62+N65+N68-N71</f>
        <v>139833.92378231487</v>
      </c>
      <c r="O35" s="291">
        <f ca="1">'Расчет базового уровня'!S35</f>
        <v>116420.952</v>
      </c>
      <c r="P35" s="296">
        <f ca="1">P38+P62+P65+P68-P71</f>
        <v>73348.805548954537</v>
      </c>
      <c r="Q35" s="291">
        <f ca="1">'Расчет базового уровня'!V35</f>
        <v>33076.883000000002</v>
      </c>
      <c r="R35" s="295">
        <f ca="1">R38+R62+R65+R68-R71</f>
        <v>17638.509133322637</v>
      </c>
      <c r="S35" s="291">
        <f ca="1">'Расчет базового уровня'!Y35</f>
        <v>-5718.4709999999995</v>
      </c>
      <c r="T35" s="295">
        <f ca="1">T38+T62+T65+T68-T71</f>
        <v>0</v>
      </c>
      <c r="U35" s="291">
        <f ca="1">'Расчет базового уровня'!AB35</f>
        <v>-4571.7529999999997</v>
      </c>
      <c r="V35" s="295">
        <f ca="1">V38+V62+V65+V68-V71</f>
        <v>0</v>
      </c>
      <c r="W35" s="291">
        <f ca="1">'Расчет базового уровня'!AE35</f>
        <v>-6990.7930000000006</v>
      </c>
      <c r="X35" s="295">
        <f ca="1">X38+X62+X65+X68-X71</f>
        <v>0</v>
      </c>
      <c r="Y35" s="291">
        <f ca="1">'Расчет базового уровня'!AH35</f>
        <v>39890.899999999994</v>
      </c>
      <c r="Z35" s="295">
        <f ca="1">Z38+Z62+Z65+Z68-Z71</f>
        <v>17042.158733847416</v>
      </c>
      <c r="AA35" s="291">
        <f ca="1">'Расчет базового уровня'!AK35</f>
        <v>132997.19099999999</v>
      </c>
      <c r="AB35" s="295">
        <f ca="1">AB38+AB62+AB65+AB68-AB71</f>
        <v>74123.152915265891</v>
      </c>
      <c r="AC35" s="291">
        <f ca="1">'Расчет базового уровня'!AN35</f>
        <v>130031.541</v>
      </c>
      <c r="AD35" s="295">
        <f ca="1">AD38+AD62+AD65+AD68-AD71</f>
        <v>94366.19262234091</v>
      </c>
      <c r="AE35" s="291">
        <f ca="1">'Расчет базового уровня'!AQ35</f>
        <v>157813.285</v>
      </c>
      <c r="AF35" s="295">
        <f ca="1">AF38+AF62+AF65+AF68-AF71</f>
        <v>131480.85968904599</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1302</v>
      </c>
      <c r="B36" s="272" t="s">
        <v>837</v>
      </c>
      <c r="C36" s="276"/>
      <c r="D36" s="276">
        <f ca="1">C35-D35</f>
        <v>209685.00414613378</v>
      </c>
      <c r="E36" s="50"/>
      <c r="F36" s="50"/>
      <c r="G36" s="275" t="s">
        <v>1302</v>
      </c>
      <c r="H36" s="272" t="s">
        <v>837</v>
      </c>
      <c r="I36" s="276"/>
      <c r="J36" s="276">
        <f ca="1">I35-J35</f>
        <v>17365.384608006076</v>
      </c>
      <c r="K36" s="276"/>
      <c r="L36" s="276">
        <f ca="1">K35-L35</f>
        <v>9009.3083184555289</v>
      </c>
      <c r="M36" s="276"/>
      <c r="N36" s="276">
        <f ca="1">M35-N35</f>
        <v>8835.8552176851372</v>
      </c>
      <c r="O36" s="276"/>
      <c r="P36" s="276">
        <f ca="1">O35-P35</f>
        <v>43072.146451045468</v>
      </c>
      <c r="Q36" s="276"/>
      <c r="R36" s="276">
        <f ca="1">Q35-R35</f>
        <v>15438.373866677364</v>
      </c>
      <c r="S36" s="276"/>
      <c r="T36" s="276">
        <f ca="1">S35-T35</f>
        <v>-5718.4709999999995</v>
      </c>
      <c r="U36" s="276"/>
      <c r="V36" s="276">
        <f ca="1">U35-V35</f>
        <v>-4571.7529999999997</v>
      </c>
      <c r="W36" s="276"/>
      <c r="X36" s="276">
        <f ca="1">W35-X35</f>
        <v>-6990.7930000000006</v>
      </c>
      <c r="Y36" s="276"/>
      <c r="Z36" s="276">
        <f ca="1">Y35-Z35</f>
        <v>22848.741266152578</v>
      </c>
      <c r="AA36" s="276"/>
      <c r="AB36" s="276">
        <f ca="1">AA35-AB35</f>
        <v>58874.0380847341</v>
      </c>
      <c r="AC36" s="276"/>
      <c r="AD36" s="276">
        <f ca="1">AC35-AD35</f>
        <v>35665.348377659087</v>
      </c>
      <c r="AE36" s="276"/>
      <c r="AF36" s="276">
        <f ca="1">AE35-AF35</f>
        <v>26332.425310954015</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1164</v>
      </c>
      <c r="C37" s="278"/>
      <c r="D37" s="278">
        <f ca="1">IF(C35=0,0,D36/C35)</f>
        <v>0.19743845420081349</v>
      </c>
      <c r="E37" s="50"/>
      <c r="F37" s="50"/>
      <c r="G37" s="275" t="s">
        <v>868</v>
      </c>
      <c r="H37" s="277" t="s">
        <v>1164</v>
      </c>
      <c r="I37" s="278"/>
      <c r="J37" s="278">
        <f ca="1">IF(I35=0,0,J36/I35)</f>
        <v>0.10214491096682106</v>
      </c>
      <c r="K37" s="278"/>
      <c r="L37" s="278">
        <f ca="1">IF(K35=0,0,L36/K35)</f>
        <v>5.9902187300857918E-2</v>
      </c>
      <c r="M37" s="278"/>
      <c r="N37" s="278">
        <f ca="1">IF(M35=0,0,N36/M35)</f>
        <v>5.9432759482915064E-2</v>
      </c>
      <c r="O37" s="278"/>
      <c r="P37" s="278">
        <f ca="1">IF(O35=0,0,P36/O35)</f>
        <v>0.3699690280066209</v>
      </c>
      <c r="Q37" s="278"/>
      <c r="R37" s="278">
        <f ca="1">IF(Q35=0,0,R36/Q35)</f>
        <v>0.46674210102195435</v>
      </c>
      <c r="S37" s="278"/>
      <c r="T37" s="278">
        <f ca="1">IF(S35=0,0,T36/S35)</f>
        <v>1</v>
      </c>
      <c r="U37" s="278"/>
      <c r="V37" s="278">
        <f ca="1">IF(U35=0,0,V36/U35)</f>
        <v>1</v>
      </c>
      <c r="W37" s="278"/>
      <c r="X37" s="278">
        <f ca="1">IF(W35=0,0,X36/W35)</f>
        <v>1</v>
      </c>
      <c r="Y37" s="278"/>
      <c r="Z37" s="278">
        <f ca="1">IF(Y35=0,0,Z36/Y35)</f>
        <v>0.57278079126198156</v>
      </c>
      <c r="AA37" s="278"/>
      <c r="AB37" s="278">
        <f ca="1">IF(AA35=0,0,AB36/AA35)</f>
        <v>0.44267128983749815</v>
      </c>
      <c r="AC37" s="278"/>
      <c r="AD37" s="278">
        <f ca="1">IF(AC35=0,0,AD36/AC35)</f>
        <v>0.27428228646201375</v>
      </c>
      <c r="AE37" s="278"/>
      <c r="AF37" s="278">
        <f ca="1">IF(AE35=0,0,AF36/AE35)</f>
        <v>0.16685810266831475</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1178</v>
      </c>
      <c r="B38" s="290" t="s">
        <v>837</v>
      </c>
      <c r="C38" s="291">
        <f ca="1">'Расчет базового уровня'!D38</f>
        <v>634987.77604399016</v>
      </c>
      <c r="D38" s="298">
        <f ca="1">D41+D44+D47+D50+D53+D56+D59</f>
        <v>533677.9941315914</v>
      </c>
      <c r="E38" s="50"/>
      <c r="F38" s="50"/>
      <c r="G38" s="293" t="s">
        <v>1179</v>
      </c>
      <c r="H38" s="299" t="s">
        <v>837</v>
      </c>
      <c r="I38" s="291">
        <f ca="1">'Расчет базового уровня'!J38</f>
        <v>101346.3936835544</v>
      </c>
      <c r="J38" s="298">
        <f ca="1">J41+J44+J47+J50+J53+J56+J59</f>
        <v>92226.514423255285</v>
      </c>
      <c r="K38" s="291">
        <f ca="1">'Расчет базового уровня'!M38</f>
        <v>89644.921266639722</v>
      </c>
      <c r="L38" s="298">
        <f ca="1">L41+L44+L47+L50+L53+L56+L59</f>
        <v>85170.308811881347</v>
      </c>
      <c r="M38" s="291">
        <f ca="1">'Расчет базового уровня'!P38</f>
        <v>88234.936539080809</v>
      </c>
      <c r="N38" s="298">
        <f ca="1">N41+N44+N47+N50+N53+N56+N59</f>
        <v>85427.764962566609</v>
      </c>
      <c r="O38" s="291">
        <f ca="1">'Расчет базового уровня'!S38</f>
        <v>68816.321679705754</v>
      </c>
      <c r="P38" s="298">
        <f ca="1">P41+P44+P47+P50+P53+P56+P59</f>
        <v>49774.855799151439</v>
      </c>
      <c r="Q38" s="291">
        <f ca="1">'Расчет базового уровня'!V38</f>
        <v>15962.884205647488</v>
      </c>
      <c r="R38" s="298">
        <f ca="1">R41+R44+R47+R50+R53+R56+R59</f>
        <v>14875.244261815373</v>
      </c>
      <c r="S38" s="291">
        <f ca="1">'Расчет базового уровня'!Y38</f>
        <v>0</v>
      </c>
      <c r="T38" s="298">
        <f ca="1">T41+T44+T47+T50+T53+T56+T59</f>
        <v>0</v>
      </c>
      <c r="U38" s="291">
        <f ca="1">'Расчет базового уровня'!AB38</f>
        <v>0</v>
      </c>
      <c r="V38" s="298">
        <f ca="1">V41+V44+V47+V50+V53+V56+V59</f>
        <v>0</v>
      </c>
      <c r="W38" s="291">
        <f ca="1">'Расчет базового уровня'!AE38</f>
        <v>0</v>
      </c>
      <c r="X38" s="298">
        <f ca="1">X41+X44+X47+X50+X53+X56+X59</f>
        <v>0</v>
      </c>
      <c r="Y38" s="291">
        <f ca="1">'Расчет базового уровня'!AH38</f>
        <v>19067.994584615844</v>
      </c>
      <c r="Z38" s="298">
        <f ca="1">Z41+Z44+Z47+Z50+Z53+Z56+Z59</f>
        <v>13730.994703214188</v>
      </c>
      <c r="AA38" s="291">
        <f ca="1">'Расчет базового уровня'!AK38</f>
        <v>77627.444019867733</v>
      </c>
      <c r="AB38" s="298">
        <f ca="1">AB41+AB44+AB47+AB50+AB53+AB56+AB59</f>
        <v>50547.224251207233</v>
      </c>
      <c r="AC38" s="291">
        <f ca="1">'Расчет базового уровня'!AN38</f>
        <v>79184.743684720903</v>
      </c>
      <c r="AD38" s="298">
        <f ca="1">AD41+AD44+AD47+AD50+AD53+AD56+AD59</f>
        <v>60931.288995512965</v>
      </c>
      <c r="AE38" s="291">
        <f ca="1">'Расчет базового уровня'!AQ38</f>
        <v>94762.710221825415</v>
      </c>
      <c r="AF38" s="298">
        <f ca="1">AF41+AF44+AF47+AF50+AF53+AF56+AF59</f>
        <v>80993.79792298704</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1302</v>
      </c>
      <c r="B39" s="272" t="s">
        <v>837</v>
      </c>
      <c r="C39" s="276"/>
      <c r="D39" s="276">
        <f ca="1">C38-D38</f>
        <v>101309.78191239876</v>
      </c>
      <c r="E39" s="50"/>
      <c r="F39" s="50"/>
      <c r="G39" s="275" t="s">
        <v>1302</v>
      </c>
      <c r="H39" s="272" t="s">
        <v>837</v>
      </c>
      <c r="I39" s="276"/>
      <c r="J39" s="276">
        <f ca="1">I38-J38</f>
        <v>9119.8792602991161</v>
      </c>
      <c r="K39" s="276"/>
      <c r="L39" s="276">
        <f ca="1">K38-L38</f>
        <v>4474.612454758375</v>
      </c>
      <c r="M39" s="276"/>
      <c r="N39" s="276">
        <f ca="1">M38-N38</f>
        <v>2807.1715765141998</v>
      </c>
      <c r="O39" s="276"/>
      <c r="P39" s="276">
        <f ca="1">O38-P38</f>
        <v>19041.465880554315</v>
      </c>
      <c r="Q39" s="276"/>
      <c r="R39" s="276">
        <f ca="1">Q38-R38</f>
        <v>1087.639943832115</v>
      </c>
      <c r="S39" s="276"/>
      <c r="T39" s="276">
        <f ca="1">S38-T38</f>
        <v>0</v>
      </c>
      <c r="U39" s="276"/>
      <c r="V39" s="276">
        <f ca="1">U38-V38</f>
        <v>0</v>
      </c>
      <c r="W39" s="276"/>
      <c r="X39" s="276">
        <f ca="1">W38-X38</f>
        <v>0</v>
      </c>
      <c r="Y39" s="276"/>
      <c r="Z39" s="276">
        <f ca="1">Y38-Z38</f>
        <v>5336.9998814016562</v>
      </c>
      <c r="AA39" s="276"/>
      <c r="AB39" s="276">
        <f ca="1">AA38-AB38</f>
        <v>27080.2197686605</v>
      </c>
      <c r="AC39" s="276"/>
      <c r="AD39" s="276">
        <f ca="1">AC38-AD38</f>
        <v>18253.454689207938</v>
      </c>
      <c r="AE39" s="276"/>
      <c r="AF39" s="276">
        <f ca="1">AE38-AF38</f>
        <v>13768.912298838375</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1164</v>
      </c>
      <c r="C40" s="278"/>
      <c r="D40" s="278">
        <f ca="1">IF(C38=0,0,D39/C38)</f>
        <v>0.15954603495450642</v>
      </c>
      <c r="E40" s="50"/>
      <c r="F40" s="50"/>
      <c r="G40" s="275" t="s">
        <v>868</v>
      </c>
      <c r="H40" s="277" t="s">
        <v>1164</v>
      </c>
      <c r="I40" s="278"/>
      <c r="J40" s="278">
        <f ca="1">IF(I38=0,0,J39/I38)</f>
        <v>8.9987210485014124E-2</v>
      </c>
      <c r="K40" s="278"/>
      <c r="L40" s="278">
        <f ca="1">IF(K38=0,0,L39/K38)</f>
        <v>4.9914846167906091E-2</v>
      </c>
      <c r="M40" s="278"/>
      <c r="N40" s="278">
        <f ca="1">IF(M38=0,0,N39/M38)</f>
        <v>3.1814740131544769E-2</v>
      </c>
      <c r="O40" s="278"/>
      <c r="P40" s="278">
        <f ca="1">IF(O38=0,0,P39/O38)</f>
        <v>0.27669984991612434</v>
      </c>
      <c r="Q40" s="278"/>
      <c r="R40" s="278">
        <f ca="1">IF(Q38=0,0,R39/Q38)</f>
        <v>6.8135553062980955E-2</v>
      </c>
      <c r="S40" s="278"/>
      <c r="T40" s="278">
        <f ca="1">IF(S38=0,0,T39/S38)</f>
        <v>0</v>
      </c>
      <c r="U40" s="278"/>
      <c r="V40" s="278">
        <f ca="1">IF(U38=0,0,V39/U38)</f>
        <v>0</v>
      </c>
      <c r="W40" s="278"/>
      <c r="X40" s="278">
        <f ca="1">IF(W38=0,0,X39/W38)</f>
        <v>0</v>
      </c>
      <c r="Y40" s="278"/>
      <c r="Z40" s="278">
        <f ca="1">IF(Y38=0,0,Z39/Y38)</f>
        <v>0.27989308774545041</v>
      </c>
      <c r="AA40" s="278"/>
      <c r="AB40" s="278">
        <f ca="1">IF(AA38=0,0,AB39/AA38)</f>
        <v>0.34884853044665065</v>
      </c>
      <c r="AC40" s="278"/>
      <c r="AD40" s="278">
        <f ca="1">IF(AC38=0,0,AD39/AC38)</f>
        <v>0.2305173173494787</v>
      </c>
      <c r="AE40" s="278"/>
      <c r="AF40" s="278">
        <f ca="1">IF(AE38=0,0,AF39/AE38)</f>
        <v>0.14529884452024852</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1180</v>
      </c>
      <c r="B41" s="290" t="s">
        <v>837</v>
      </c>
      <c r="C41" s="291">
        <f ca="1">'Расчет базового уровня'!D41</f>
        <v>313481.44860847748</v>
      </c>
      <c r="D41" s="301">
        <f ca="1">IF(IF(C136=0,0,B136/C136*D136)*0.024*$D$149*(1-D165)&gt;C41,C41,IF(C136=0,0,B136/C136*D136)*0.024*$D$149*(1-D165))</f>
        <v>263466.72645119997</v>
      </c>
      <c r="E41" s="50"/>
      <c r="F41" s="50"/>
      <c r="G41" s="302" t="s">
        <v>1180</v>
      </c>
      <c r="H41" s="294" t="s">
        <v>837</v>
      </c>
      <c r="I41" s="291">
        <f ca="1">'Расчет базового уровня'!J41</f>
        <v>50032.796695860685</v>
      </c>
      <c r="J41" s="303">
        <f ca="1">IF($C136=0,0,MIN($B136/$C136*$D136*0.024*$G$149,I41))</f>
        <v>45530.48488843636</v>
      </c>
      <c r="K41" s="291">
        <f ca="1">'Расчет базового уровня'!M41</f>
        <v>44256.001200741681</v>
      </c>
      <c r="L41" s="303">
        <f ca="1">IF($C136=0,0,MIN($B136/$C136*$D136*0.024*$H$149,K41))</f>
        <v>42046.969708799996</v>
      </c>
      <c r="M41" s="291">
        <f ca="1">'Расчет базового уровня'!P41</f>
        <v>43559.918423109804</v>
      </c>
      <c r="N41" s="303">
        <f ca="1">IF($C136=0,0,MIN($B136/$C136*$D136*0.024*$I$149,M41))</f>
        <v>42174.07093832727</v>
      </c>
      <c r="O41" s="291">
        <f ca="1">'Расчет базового уровня'!S41</f>
        <v>33973.315742327984</v>
      </c>
      <c r="P41" s="303">
        <f ca="1">IF($C136=0,0,MIN($B136/$C136*$D136*0.024*$J$149,O41))</f>
        <v>24572.904375272727</v>
      </c>
      <c r="Q41" s="291">
        <f ca="1">'Расчет базового уровня'!V41</f>
        <v>7880.5738528249885</v>
      </c>
      <c r="R41" s="303">
        <f ca="1">IF($C136=0,0,MIN($B136/$C136*$D136*0.024*$K$149,Q41))</f>
        <v>7343.6265949090912</v>
      </c>
      <c r="S41" s="291">
        <f ca="1">'Расчет базового уровня'!Y41</f>
        <v>0</v>
      </c>
      <c r="T41" s="303">
        <f ca="1">IF($C136=0,0,MIN($B136/$C136*$D136*0.024*$L$149,S41))</f>
        <v>0</v>
      </c>
      <c r="U41" s="291">
        <f ca="1">'Расчет базового уровня'!AB41</f>
        <v>0</v>
      </c>
      <c r="V41" s="303">
        <f ca="1">IF($C136=0,0,MIN($B136/$C136*$D136*0.024*$M$149,U41))</f>
        <v>0</v>
      </c>
      <c r="W41" s="291">
        <f ca="1">'Расчет базового уровня'!AE41</f>
        <v>0</v>
      </c>
      <c r="X41" s="303">
        <f ca="1">IF($C136=0,0,MIN($B136/$C136*$D136*0.024*$N$149,W41))</f>
        <v>0</v>
      </c>
      <c r="Y41" s="291">
        <f ca="1">'Расчет базового уровня'!AH41</f>
        <v>9413.5080862247578</v>
      </c>
      <c r="Z41" s="303">
        <f ca="1">IF($C136=0,0,MIN($B136/$C136*$D136*0.024*$O$149,Y41))</f>
        <v>6778.7322414545451</v>
      </c>
      <c r="AA41" s="291">
        <f ca="1">'Расчет базового уровня'!AK41</f>
        <v>38323.20010115562</v>
      </c>
      <c r="AB41" s="303">
        <f ca="1">IF($C136=0,0,MIN($B136/$C136*$D136*0.024*$P$149,AA41))</f>
        <v>24954.208063854549</v>
      </c>
      <c r="AC41" s="291">
        <f ca="1">'Расчет базового уровня'!AN41</f>
        <v>39092.009475561346</v>
      </c>
      <c r="AD41" s="303">
        <f ca="1">IF($C136=0,0,MIN($B136/$C136*$D136*0.024*$Q$149,AC41))</f>
        <v>30080.624321454547</v>
      </c>
      <c r="AE41" s="291">
        <f ca="1">'Расчет базового уровня'!AQ41</f>
        <v>46782.556759557585</v>
      </c>
      <c r="AF41" s="303">
        <f ca="1">IF($C136=0,0,MIN($B136/$C136*$D136*0.024*$R$149,AE41))</f>
        <v>39985.105318690912</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1302</v>
      </c>
      <c r="B42" s="272" t="s">
        <v>837</v>
      </c>
      <c r="C42" s="276"/>
      <c r="D42" s="276">
        <f ca="1">C41-D41</f>
        <v>50014.722157277516</v>
      </c>
      <c r="E42" s="50"/>
      <c r="F42" s="50"/>
      <c r="G42" s="275" t="s">
        <v>1302</v>
      </c>
      <c r="H42" s="272" t="s">
        <v>837</v>
      </c>
      <c r="I42" s="276"/>
      <c r="J42" s="276">
        <f ca="1">I41-J41</f>
        <v>4502.3118074243248</v>
      </c>
      <c r="K42" s="276"/>
      <c r="L42" s="276">
        <f ca="1">K41-L41</f>
        <v>2209.0314919416851</v>
      </c>
      <c r="M42" s="276"/>
      <c r="N42" s="276">
        <f ca="1">M41-N41</f>
        <v>1385.8474847825346</v>
      </c>
      <c r="O42" s="276"/>
      <c r="P42" s="276">
        <f ca="1">O41-P41</f>
        <v>9400.4113670552579</v>
      </c>
      <c r="Q42" s="276"/>
      <c r="R42" s="276">
        <f ca="1">Q41-R41</f>
        <v>536.94725791589735</v>
      </c>
      <c r="S42" s="276"/>
      <c r="T42" s="276">
        <f ca="1">S41-T41</f>
        <v>0</v>
      </c>
      <c r="U42" s="276"/>
      <c r="V42" s="276">
        <f ca="1">U41-V41</f>
        <v>0</v>
      </c>
      <c r="W42" s="276"/>
      <c r="X42" s="276">
        <f ca="1">W41-X41</f>
        <v>0</v>
      </c>
      <c r="Y42" s="276"/>
      <c r="Z42" s="276">
        <f ca="1">Y41-Z41</f>
        <v>2634.7758447702126</v>
      </c>
      <c r="AA42" s="276"/>
      <c r="AB42" s="276">
        <f ca="1">AA41-AB41</f>
        <v>13368.992037301072</v>
      </c>
      <c r="AC42" s="276"/>
      <c r="AD42" s="276">
        <f ca="1">AC41-AD41</f>
        <v>9011.3851541067997</v>
      </c>
      <c r="AE42" s="276"/>
      <c r="AF42" s="276">
        <f ca="1">AE41-AF41</f>
        <v>6797.4514408666728</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1164</v>
      </c>
      <c r="C43" s="278"/>
      <c r="D43" s="278">
        <f ca="1">IF(C41=0,0,D42/C41)</f>
        <v>0.15954603495450662</v>
      </c>
      <c r="E43" s="50"/>
      <c r="F43" s="50"/>
      <c r="G43" s="275" t="s">
        <v>868</v>
      </c>
      <c r="H43" s="277" t="s">
        <v>1164</v>
      </c>
      <c r="I43" s="278"/>
      <c r="J43" s="278">
        <f ca="1">IF(I41=0,0,J42/I41)</f>
        <v>8.998721048501393E-2</v>
      </c>
      <c r="K43" s="278"/>
      <c r="L43" s="278">
        <f ca="1">IF(K41=0,0,L42/K41)</f>
        <v>4.9914846167906021E-2</v>
      </c>
      <c r="M43" s="278"/>
      <c r="N43" s="278">
        <f ca="1">IF(M41=0,0,N42/M41)</f>
        <v>3.1814740131544922E-2</v>
      </c>
      <c r="O43" s="278"/>
      <c r="P43" s="278">
        <f ca="1">IF(O41=0,0,P42/O41)</f>
        <v>0.27669984991612434</v>
      </c>
      <c r="Q43" s="278"/>
      <c r="R43" s="278">
        <f ca="1">IF(Q41=0,0,R42/Q41)</f>
        <v>6.8135553062980969E-2</v>
      </c>
      <c r="S43" s="278"/>
      <c r="T43" s="278">
        <f ca="1">IF(S41=0,0,T42/S41)</f>
        <v>0</v>
      </c>
      <c r="U43" s="278"/>
      <c r="V43" s="278">
        <f ca="1">IF(U41=0,0,V42/U41)</f>
        <v>0</v>
      </c>
      <c r="W43" s="278"/>
      <c r="X43" s="278">
        <f ca="1">IF(W41=0,0,X42/W41)</f>
        <v>0</v>
      </c>
      <c r="Y43" s="278"/>
      <c r="Z43" s="278">
        <f ca="1">IF(Y41=0,0,Z42/Y41)</f>
        <v>0.27989308774545035</v>
      </c>
      <c r="AA43" s="278"/>
      <c r="AB43" s="278">
        <f ca="1">IF(AA41=0,0,AB42/AA41)</f>
        <v>0.34884853044665065</v>
      </c>
      <c r="AC43" s="278"/>
      <c r="AD43" s="278">
        <f ca="1">IF(AC41=0,0,AD42/AC41)</f>
        <v>0.23051731734947861</v>
      </c>
      <c r="AE43" s="278"/>
      <c r="AF43" s="278">
        <f ca="1">IF(AE41=0,0,AF42/AE41)</f>
        <v>0.14529884452024883</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1182</v>
      </c>
      <c r="B44" s="290" t="s">
        <v>837</v>
      </c>
      <c r="C44" s="291">
        <f ca="1">'Расчет базового уровня'!D44</f>
        <v>165397.83500103379</v>
      </c>
      <c r="D44" s="301">
        <f ca="1">IF(IF(C137=0,0,B137/C137*D137)*0.024*$D$149&gt;C44,C44,IF(C137=0,0,B137/C137*D137)*0.024*$D$149)</f>
        <v>139009.26623655914</v>
      </c>
      <c r="E44" s="50"/>
      <c r="F44" s="50"/>
      <c r="G44" s="302" t="s">
        <v>1182</v>
      </c>
      <c r="H44" s="294" t="s">
        <v>837</v>
      </c>
      <c r="I44" s="291">
        <f ca="1">'Расчет базового уровня'!J44</f>
        <v>26398.105180628045</v>
      </c>
      <c r="J44" s="303">
        <f ca="1">IF($C137=0,0,MIN($B137/$C137*$D137*0.024*$G$149,I44))</f>
        <v>24022.613333333331</v>
      </c>
      <c r="K44" s="291">
        <f ca="1">'Расчет базового уровня'!M44</f>
        <v>23350.175319458682</v>
      </c>
      <c r="L44" s="303">
        <f ca="1">IF($C137=0,0,MIN($B137/$C137*$D137*0.024*$H$149,K44))</f>
        <v>22184.654910394263</v>
      </c>
      <c r="M44" s="291">
        <f ca="1">'Расчет базового уровня'!P44</f>
        <v>22982.910893085522</v>
      </c>
      <c r="N44" s="303">
        <f ca="1">IF($C137=0,0,MIN($B137/$C137*$D137*0.024*$I$149,M44))</f>
        <v>22251.715555555555</v>
      </c>
      <c r="O44" s="291">
        <f ca="1">'Расчет базового уровня'!S44</f>
        <v>17924.865718626868</v>
      </c>
      <c r="P44" s="303">
        <f ca="1">IF($C137=0,0,MIN($B137/$C137*$D137*0.024*$J$149,O44))</f>
        <v>12965.05806451613</v>
      </c>
      <c r="Q44" s="291">
        <f ca="1">'Расчет базового уровня'!V44</f>
        <v>4157.9170302065522</v>
      </c>
      <c r="R44" s="303">
        <f ca="1">IF($C137=0,0,MIN($B137/$C137*$D137*0.024*$K$149,Q44))</f>
        <v>3874.6150537634412</v>
      </c>
      <c r="S44" s="291">
        <f ca="1">'Расчет базового уровня'!Y44</f>
        <v>0</v>
      </c>
      <c r="T44" s="303">
        <f ca="1">IF($C137=0,0,MIN($B137/$C137*$D137*0.024*$L$149,S44))</f>
        <v>0</v>
      </c>
      <c r="U44" s="291">
        <f ca="1">'Расчет базового уровня'!AB44</f>
        <v>0</v>
      </c>
      <c r="V44" s="303">
        <f ca="1">IF($C137=0,0,MIN($B137/$C137*$D137*0.024*$M$149,U44))</f>
        <v>0</v>
      </c>
      <c r="W44" s="291">
        <f ca="1">'Расчет базового уровня'!AE44</f>
        <v>0</v>
      </c>
      <c r="X44" s="303">
        <f ca="1">IF($C137=0,0,MIN($B137/$C137*$D137*0.024*$N$149,W44))</f>
        <v>0</v>
      </c>
      <c r="Y44" s="291">
        <f ca="1">'Расчет базового уровня'!AH44</f>
        <v>4966.7176929850211</v>
      </c>
      <c r="Z44" s="303">
        <f ca="1">IF($C137=0,0,MIN($B137/$C137*$D137*0.024*$O$149,Y44))</f>
        <v>3576.5677419354843</v>
      </c>
      <c r="AA44" s="291">
        <f ca="1">'Расчет базового уровня'!AK44</f>
        <v>20219.934401793256</v>
      </c>
      <c r="AB44" s="303">
        <f ca="1">IF($C137=0,0,MIN($B137/$C137*$D137*0.024*$P$149,AA44))</f>
        <v>13166.240000000002</v>
      </c>
      <c r="AC44" s="291">
        <f ca="1">'Расчет базового уровня'!AN44</f>
        <v>20625.57054587661</v>
      </c>
      <c r="AD44" s="303">
        <f ca="1">IF($C137=0,0,MIN($B137/$C137*$D137*0.024*$Q$149,AC44))</f>
        <v>15871.019354838711</v>
      </c>
      <c r="AE44" s="291">
        <f ca="1">'Расчет базового уровня'!AQ44</f>
        <v>24683.226513693451</v>
      </c>
      <c r="AF44" s="303">
        <f ca="1">IF($C137=0,0,MIN($B137/$C137*$D137*0.024*$R$149,AE44))</f>
        <v>21096.782222222224</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1302</v>
      </c>
      <c r="B45" s="272" t="s">
        <v>837</v>
      </c>
      <c r="C45" s="276"/>
      <c r="D45" s="276">
        <f ca="1">C44-D44</f>
        <v>26388.56876447465</v>
      </c>
      <c r="E45" s="50"/>
      <c r="F45" s="50"/>
      <c r="G45" s="275" t="s">
        <v>1302</v>
      </c>
      <c r="H45" s="272" t="s">
        <v>837</v>
      </c>
      <c r="I45" s="276"/>
      <c r="J45" s="276">
        <f ca="1">I44-J44</f>
        <v>2375.4918472947138</v>
      </c>
      <c r="K45" s="276"/>
      <c r="L45" s="276">
        <f ca="1">K44-L44</f>
        <v>1165.5204090644183</v>
      </c>
      <c r="M45" s="276"/>
      <c r="N45" s="276">
        <f ca="1">M44-N44</f>
        <v>731.19533752996722</v>
      </c>
      <c r="O45" s="276"/>
      <c r="P45" s="276">
        <f ca="1">O44-P44</f>
        <v>4959.8076541107384</v>
      </c>
      <c r="Q45" s="276"/>
      <c r="R45" s="276">
        <f ca="1">Q44-R44</f>
        <v>283.30197644311102</v>
      </c>
      <c r="S45" s="276"/>
      <c r="T45" s="276">
        <f ca="1">S44-T44</f>
        <v>0</v>
      </c>
      <c r="U45" s="276"/>
      <c r="V45" s="276">
        <f ca="1">U44-V44</f>
        <v>0</v>
      </c>
      <c r="W45" s="276"/>
      <c r="X45" s="276">
        <f ca="1">W44-X44</f>
        <v>0</v>
      </c>
      <c r="Y45" s="276"/>
      <c r="Z45" s="276">
        <f ca="1">Y44-Z44</f>
        <v>1390.1499510495369</v>
      </c>
      <c r="AA45" s="276"/>
      <c r="AB45" s="276">
        <f ca="1">AA44-AB44</f>
        <v>7053.6944017932547</v>
      </c>
      <c r="AC45" s="276"/>
      <c r="AD45" s="276">
        <f ca="1">AC44-AD44</f>
        <v>4754.5511910378991</v>
      </c>
      <c r="AE45" s="276"/>
      <c r="AF45" s="276">
        <f ca="1">AE44-AF44</f>
        <v>3586.4442914712272</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1164</v>
      </c>
      <c r="C46" s="278"/>
      <c r="D46" s="278">
        <f ca="1">IF(C44=0,0,D45/C44)</f>
        <v>0.15954603495450659</v>
      </c>
      <c r="E46" s="1506">
        <f ca="1">(C44/C38)*100</f>
        <v>26.047404570757514</v>
      </c>
      <c r="F46" s="381">
        <f ca="1">(D44/D38)*100</f>
        <v>26.047404570757511</v>
      </c>
      <c r="G46" s="275" t="s">
        <v>868</v>
      </c>
      <c r="H46" s="277" t="s">
        <v>1164</v>
      </c>
      <c r="I46" s="278"/>
      <c r="J46" s="278">
        <f ca="1">IF(I44=0,0,J45/I44)</f>
        <v>8.9987210485013971E-2</v>
      </c>
      <c r="K46" s="278"/>
      <c r="L46" s="278">
        <f ca="1">IF(K44=0,0,L45/K44)</f>
        <v>4.9914846167906125E-2</v>
      </c>
      <c r="M46" s="278"/>
      <c r="N46" s="278">
        <f ca="1">IF(M44=0,0,N45/M44)</f>
        <v>3.1814740131544852E-2</v>
      </c>
      <c r="O46" s="278"/>
      <c r="P46" s="278">
        <f ca="1">IF(O44=0,0,P45/O44)</f>
        <v>0.27669984991612445</v>
      </c>
      <c r="Q46" s="278"/>
      <c r="R46" s="278">
        <f ca="1">IF(Q44=0,0,R45/Q44)</f>
        <v>6.8135553062981025E-2</v>
      </c>
      <c r="S46" s="278"/>
      <c r="T46" s="278">
        <f ca="1">IF(S44=0,0,T45/S44)</f>
        <v>0</v>
      </c>
      <c r="U46" s="278"/>
      <c r="V46" s="278">
        <f ca="1">IF(U44=0,0,V45/U44)</f>
        <v>0</v>
      </c>
      <c r="W46" s="278"/>
      <c r="X46" s="278">
        <f ca="1">IF(W44=0,0,X45/W44)</f>
        <v>0</v>
      </c>
      <c r="Y46" s="278"/>
      <c r="Z46" s="278">
        <f ca="1">IF(Y44=0,0,Z45/Y44)</f>
        <v>0.2798930877454503</v>
      </c>
      <c r="AA46" s="278"/>
      <c r="AB46" s="278">
        <f ca="1">IF(AA44=0,0,AB45/AA44)</f>
        <v>0.34884853044665071</v>
      </c>
      <c r="AC46" s="278"/>
      <c r="AD46" s="278">
        <f ca="1">IF(AC44=0,0,AD45/AC44)</f>
        <v>0.2305173173494787</v>
      </c>
      <c r="AE46" s="278"/>
      <c r="AF46" s="278">
        <f ca="1">IF(AE44=0,0,AF45/AE44)</f>
        <v>0.14529884452024877</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1184</v>
      </c>
      <c r="B47" s="290" t="s">
        <v>837</v>
      </c>
      <c r="C47" s="291">
        <f ca="1">'Расчет базового уровня'!D47</f>
        <v>6881.2858852873251</v>
      </c>
      <c r="D47" s="301">
        <f ca="1">IF(IF(C138=0,0,B138/C138*D138)*0.024*$D$149&gt;C47,C47,IF(C138=0,0,B138/C138*D138)*0.024*$D$149)</f>
        <v>5546.2482580645155</v>
      </c>
      <c r="E47" s="50"/>
      <c r="F47" s="50"/>
      <c r="G47" s="302" t="s">
        <v>1184</v>
      </c>
      <c r="H47" s="294" t="s">
        <v>837</v>
      </c>
      <c r="I47" s="291">
        <f ca="1">'Расчет базового уровня'!J47</f>
        <v>1053.2423401552819</v>
      </c>
      <c r="J47" s="303">
        <f ca="1">IF($C138=0,0,MIN($B138/$C138*$D138*0.024*$G$149,I47))</f>
        <v>958.46399999999994</v>
      </c>
      <c r="K47" s="291">
        <f ca="1">'Расчет базового уровня'!M47</f>
        <v>931.63479455148001</v>
      </c>
      <c r="L47" s="303">
        <f ca="1">IF($C138=0,0,MIN($B138/$C138*$D138*0.024*$H$149,K47))</f>
        <v>885.1323870967741</v>
      </c>
      <c r="M47" s="291">
        <f ca="1">'Расчет базового уровня'!P47</f>
        <v>916.98152905222298</v>
      </c>
      <c r="N47" s="303">
        <f ca="1">IF($C138=0,0,MIN($B138/$C138*$D138*0.024*$I$149,M47))</f>
        <v>887.80799999999999</v>
      </c>
      <c r="O47" s="291">
        <f ca="1">'Расчет базового уровня'!S47</f>
        <v>715.17358489464834</v>
      </c>
      <c r="P47" s="303">
        <f ca="1">IF($C138=0,0,MIN($B138/$C138*$D138*0.024*$J$149,O47))</f>
        <v>517.28516129032255</v>
      </c>
      <c r="Q47" s="291">
        <f ca="1">'Расчет базового уровня'!V47</f>
        <v>165.8942652550663</v>
      </c>
      <c r="R47" s="303">
        <f ca="1">IF($C138=0,0,MIN($B138/$C138*$D138*0.024*$K$149,Q47))</f>
        <v>154.59096774193549</v>
      </c>
      <c r="S47" s="291">
        <f ca="1">'Расчет базового уровня'!Y47</f>
        <v>0</v>
      </c>
      <c r="T47" s="303">
        <f ca="1">IF($C138=0,0,MIN($B138/$C138*$D138*0.024*$L$149,S47))</f>
        <v>0</v>
      </c>
      <c r="U47" s="291">
        <f ca="1">'Расчет базового уровня'!AB47</f>
        <v>0</v>
      </c>
      <c r="V47" s="303">
        <f ca="1">IF($C138=0,0,MIN($B138/$C138*$D138*0.024*$M$149,U47))</f>
        <v>0</v>
      </c>
      <c r="W47" s="291">
        <f ca="1">'Расчет базового уровня'!AE47</f>
        <v>0</v>
      </c>
      <c r="X47" s="303">
        <f ca="1">IF($C138=0,0,MIN($B138/$C138*$D138*0.024*$N$149,W47))</f>
        <v>0</v>
      </c>
      <c r="Y47" s="291">
        <f ca="1">'Расчет базового уровня'!AH47</f>
        <v>659.37262341267569</v>
      </c>
      <c r="Z47" s="303">
        <f ca="1">IF($C138=0,0,MIN($B138/$C138*$D138*0.024*$O$149,Y47))</f>
        <v>142.69935483870967</v>
      </c>
      <c r="AA47" s="291">
        <f ca="1">'Расчет базового уровня'!AK47</f>
        <v>806.74316892862487</v>
      </c>
      <c r="AB47" s="303">
        <f ca="1">IF($C138=0,0,MIN($B138/$C138*$D138*0.024*$P$149,AA47))</f>
        <v>525.31200000000001</v>
      </c>
      <c r="AC47" s="291">
        <f ca="1">'Расчет базового уровня'!AN47</f>
        <v>822.92740483201976</v>
      </c>
      <c r="AD47" s="303">
        <f ca="1">IF($C138=0,0,MIN($B138/$C138*$D138*0.024*$Q$149,AC47))</f>
        <v>633.22838709677421</v>
      </c>
      <c r="AE47" s="291">
        <f ca="1">'Расчет базового уровня'!AQ47</f>
        <v>984.82141343020737</v>
      </c>
      <c r="AF47" s="303">
        <f ca="1">IF($C138=0,0,MIN($B138/$C138*$D138*0.024*$R$149,AE47))</f>
        <v>841.72799999999995</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1302</v>
      </c>
      <c r="B48" s="272" t="s">
        <v>837</v>
      </c>
      <c r="C48" s="276"/>
      <c r="D48" s="276">
        <f ca="1">C47-D47</f>
        <v>1335.0376272228095</v>
      </c>
      <c r="E48" s="50"/>
      <c r="F48" s="50"/>
      <c r="G48" s="275" t="s">
        <v>1302</v>
      </c>
      <c r="H48" s="272" t="s">
        <v>837</v>
      </c>
      <c r="I48" s="276"/>
      <c r="J48" s="276">
        <f ca="1">I47-J47</f>
        <v>94.778340155281967</v>
      </c>
      <c r="K48" s="276"/>
      <c r="L48" s="276">
        <f ca="1">K47-L47</f>
        <v>46.502407454705917</v>
      </c>
      <c r="M48" s="276"/>
      <c r="N48" s="276">
        <f ca="1">M47-N47</f>
        <v>29.173529052222989</v>
      </c>
      <c r="O48" s="276"/>
      <c r="P48" s="276">
        <f ca="1">O47-P47</f>
        <v>197.88842360432579</v>
      </c>
      <c r="Q48" s="276"/>
      <c r="R48" s="276">
        <f ca="1">Q47-R47</f>
        <v>11.303297513130815</v>
      </c>
      <c r="S48" s="276"/>
      <c r="T48" s="276">
        <f ca="1">S47-T47</f>
        <v>0</v>
      </c>
      <c r="U48" s="276"/>
      <c r="V48" s="276">
        <f ca="1">U47-V47</f>
        <v>0</v>
      </c>
      <c r="W48" s="276"/>
      <c r="X48" s="276">
        <f ca="1">W47-X47</f>
        <v>0</v>
      </c>
      <c r="Y48" s="276"/>
      <c r="Z48" s="276">
        <f ca="1">Y47-Z47</f>
        <v>516.67326857396597</v>
      </c>
      <c r="AA48" s="276"/>
      <c r="AB48" s="276">
        <f ca="1">AA47-AB47</f>
        <v>281.43116892862486</v>
      </c>
      <c r="AC48" s="276"/>
      <c r="AD48" s="276">
        <f ca="1">AC47-AD47</f>
        <v>189.69901773524555</v>
      </c>
      <c r="AE48" s="276"/>
      <c r="AF48" s="276">
        <f ca="1">AE47-AF47</f>
        <v>143.09341343020742</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1164</v>
      </c>
      <c r="C49" s="278"/>
      <c r="D49" s="278">
        <f ca="1">IF(C47=0,0,D48/C47)</f>
        <v>0.19400990592139389</v>
      </c>
      <c r="E49" s="50"/>
      <c r="F49" s="50"/>
      <c r="G49" s="275" t="s">
        <v>868</v>
      </c>
      <c r="H49" s="277" t="s">
        <v>1164</v>
      </c>
      <c r="I49" s="278"/>
      <c r="J49" s="278">
        <f ca="1">IF(I47=0,0,J48/I47)</f>
        <v>8.9987210485013902E-2</v>
      </c>
      <c r="K49" s="278"/>
      <c r="L49" s="278">
        <f ca="1">IF(K47=0,0,L48/K47)</f>
        <v>4.9914846167906091E-2</v>
      </c>
      <c r="M49" s="278"/>
      <c r="N49" s="278">
        <f ca="1">IF(M47=0,0,N48/M47)</f>
        <v>3.1814740131544707E-2</v>
      </c>
      <c r="O49" s="278"/>
      <c r="P49" s="278">
        <f ca="1">IF(O47=0,0,P48/O47)</f>
        <v>0.27669984991612434</v>
      </c>
      <c r="Q49" s="278"/>
      <c r="R49" s="278">
        <f ca="1">IF(Q47=0,0,R48/Q47)</f>
        <v>6.8135553062980997E-2</v>
      </c>
      <c r="S49" s="278"/>
      <c r="T49" s="278">
        <f ca="1">IF(S47=0,0,T48/S47)</f>
        <v>0</v>
      </c>
      <c r="U49" s="278"/>
      <c r="V49" s="278">
        <f ca="1">IF(U47=0,0,V48/U47)</f>
        <v>0</v>
      </c>
      <c r="W49" s="278"/>
      <c r="X49" s="278">
        <f ca="1">IF(W47=0,0,X48/W47)</f>
        <v>0</v>
      </c>
      <c r="Y49" s="278"/>
      <c r="Z49" s="278">
        <f ca="1">IF(Y47=0,0,Z48/Y47)</f>
        <v>0.78358313680032821</v>
      </c>
      <c r="AA49" s="278"/>
      <c r="AB49" s="278">
        <f ca="1">IF(AA47=0,0,AB48/AA47)</f>
        <v>0.34884853044665071</v>
      </c>
      <c r="AC49" s="278"/>
      <c r="AD49" s="278">
        <f ca="1">IF(AC47=0,0,AD48/AC47)</f>
        <v>0.23051731734947861</v>
      </c>
      <c r="AE49" s="278"/>
      <c r="AF49" s="278">
        <f ca="1">IF(AE47=0,0,AF48/AE47)</f>
        <v>0.14529884452024885</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1512</v>
      </c>
      <c r="B50" s="290" t="s">
        <v>837</v>
      </c>
      <c r="C50" s="291">
        <f ca="1">'Расчет базового уровня'!D50</f>
        <v>6887.5858906754665</v>
      </c>
      <c r="D50" s="301">
        <f ca="1">IF(IF(C139=0,0,B139/C139*D139)*0.024*$D$149&gt;C50,C50,IF(C139=0,0,B139/C139*D139)*0.024*$D$149)</f>
        <v>5551.326</v>
      </c>
      <c r="E50" s="50"/>
      <c r="F50" s="50"/>
      <c r="G50" s="300" t="s">
        <v>1512</v>
      </c>
      <c r="H50" s="294" t="s">
        <v>837</v>
      </c>
      <c r="I50" s="291">
        <f ca="1">'Расчет базового уровня'!J50</f>
        <v>1054.2066123172895</v>
      </c>
      <c r="J50" s="303">
        <f ca="1">IF($C139=0,0,MIN($B139/$C139*$D139*0.024*$G$149,I50))</f>
        <v>959.3415</v>
      </c>
      <c r="K50" s="291">
        <f ca="1">'Расчет базового уровня'!M50</f>
        <v>932.48773168028094</v>
      </c>
      <c r="L50" s="303">
        <f ca="1">IF($C139=0,0,MIN($B139/$C139*$D139*0.024*$H$149,K50))</f>
        <v>885.94274999999993</v>
      </c>
      <c r="M50" s="291">
        <f ca="1">'Расчет базового уровня'!P50</f>
        <v>917.82105071578417</v>
      </c>
      <c r="N50" s="303">
        <f ca="1">IF($C139=0,0,MIN($B139/$C139*$D139*0.024*$I$149,M50))</f>
        <v>888.62081250000006</v>
      </c>
      <c r="O50" s="291">
        <f ca="1">'Расчет базового уровня'!S50</f>
        <v>715.82834586714728</v>
      </c>
      <c r="P50" s="303">
        <f ca="1">IF($C139=0,0,MIN($B139/$C139*$D139*0.024*$J$149,O50))</f>
        <v>517.75875000000008</v>
      </c>
      <c r="Q50" s="291">
        <f ca="1">'Расчет базового уровня'!V50</f>
        <v>166.04614599107865</v>
      </c>
      <c r="R50" s="303">
        <f ca="1">IF($C139=0,0,MIN($B139/$C139*$D139*0.024*$K$149,Q50))</f>
        <v>154.73250000000002</v>
      </c>
      <c r="S50" s="291">
        <f ca="1">'Расчет базового уровня'!Y50</f>
        <v>0</v>
      </c>
      <c r="T50" s="303">
        <f ca="1">IF($C139=0,0,MIN($B139/$C139*$D139*0.024*$L$149,S50))</f>
        <v>0</v>
      </c>
      <c r="U50" s="291">
        <f ca="1">'Расчет базового уровня'!AB50</f>
        <v>0</v>
      </c>
      <c r="V50" s="303">
        <f ca="1">IF($C139=0,0,MIN($B139/$C139*$D139*0.024*$M$149,U50))</f>
        <v>0</v>
      </c>
      <c r="W50" s="291">
        <f ca="1">'Расчет базового уровня'!AE50</f>
        <v>0</v>
      </c>
      <c r="X50" s="303">
        <f ca="1">IF($C139=0,0,MIN($B139/$C139*$D139*0.024*$N$149,W50))</f>
        <v>0</v>
      </c>
      <c r="Y50" s="291">
        <f ca="1">'Расчет базового уровня'!AH50</f>
        <v>659.97629707913006</v>
      </c>
      <c r="Z50" s="303">
        <f ca="1">IF($C139=0,0,MIN($B139/$C139*$D139*0.024*$O$149,Y50))</f>
        <v>142.83000000000001</v>
      </c>
      <c r="AA50" s="291">
        <f ca="1">'Расчет базового уровня'!AK50</f>
        <v>807.48176435916253</v>
      </c>
      <c r="AB50" s="303">
        <f ca="1">IF($C139=0,0,MIN($B139/$C139*$D139*0.024*$P$149,AA50))</f>
        <v>525.79293750000011</v>
      </c>
      <c r="AC50" s="291">
        <f ca="1">'Расчет базового уровня'!AN50</f>
        <v>823.68081737306466</v>
      </c>
      <c r="AD50" s="303">
        <f ca="1">IF($C139=0,0,MIN($B139/$C139*$D139*0.024*$Q$149,AC50))</f>
        <v>633.80812500000002</v>
      </c>
      <c r="AE50" s="291">
        <f ca="1">'Расчет базового уровня'!AQ50</f>
        <v>985.72304436291336</v>
      </c>
      <c r="AF50" s="303">
        <f ca="1">IF($C139=0,0,MIN($B139/$C139*$D139*0.024*$R$149,AE50))</f>
        <v>842.49862500000006</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1302</v>
      </c>
      <c r="B51" s="272" t="s">
        <v>837</v>
      </c>
      <c r="C51" s="276"/>
      <c r="D51" s="276">
        <f ca="1">C50-D50</f>
        <v>1336.2598906754665</v>
      </c>
      <c r="E51" s="50"/>
      <c r="F51" s="50"/>
      <c r="G51" s="275" t="s">
        <v>1302</v>
      </c>
      <c r="H51" s="272" t="s">
        <v>837</v>
      </c>
      <c r="I51" s="276"/>
      <c r="J51" s="276">
        <f ca="1">I50-J50</f>
        <v>94.865112317289459</v>
      </c>
      <c r="K51" s="276"/>
      <c r="L51" s="276">
        <f ca="1">K50-L50</f>
        <v>46.544981680281012</v>
      </c>
      <c r="M51" s="276"/>
      <c r="N51" s="276">
        <f ca="1">M50-N50</f>
        <v>29.200238215784111</v>
      </c>
      <c r="O51" s="276"/>
      <c r="P51" s="276">
        <f ca="1">O50-P50</f>
        <v>198.0695958671472</v>
      </c>
      <c r="Q51" s="276"/>
      <c r="R51" s="276">
        <f ca="1">Q50-R50</f>
        <v>11.31364599107863</v>
      </c>
      <c r="S51" s="276"/>
      <c r="T51" s="276">
        <f ca="1">S50-T50</f>
        <v>0</v>
      </c>
      <c r="U51" s="276"/>
      <c r="V51" s="276">
        <f ca="1">U50-V50</f>
        <v>0</v>
      </c>
      <c r="W51" s="276"/>
      <c r="X51" s="276">
        <f ca="1">W50-X50</f>
        <v>0</v>
      </c>
      <c r="Y51" s="276"/>
      <c r="Z51" s="276">
        <f ca="1">Y50-Z50</f>
        <v>517.14629707913002</v>
      </c>
      <c r="AA51" s="276"/>
      <c r="AB51" s="276">
        <f ca="1">AA50-AB50</f>
        <v>281.68882685916242</v>
      </c>
      <c r="AC51" s="276"/>
      <c r="AD51" s="276">
        <f ca="1">AC50-AD50</f>
        <v>189.87269237306464</v>
      </c>
      <c r="AE51" s="276"/>
      <c r="AF51" s="276">
        <f ca="1">AE50-AF50</f>
        <v>143.2244193629133</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1164</v>
      </c>
      <c r="C52" s="278"/>
      <c r="D52" s="278">
        <f ca="1">IF(C50=0,0,D51/C50)</f>
        <v>0.19400990592139378</v>
      </c>
      <c r="E52" s="50"/>
      <c r="F52" s="50"/>
      <c r="G52" s="275" t="s">
        <v>868</v>
      </c>
      <c r="H52" s="277" t="s">
        <v>1164</v>
      </c>
      <c r="I52" s="278"/>
      <c r="J52" s="278">
        <f ca="1">IF(I50=0,0,J51/I50)</f>
        <v>8.9987210485013985E-2</v>
      </c>
      <c r="K52" s="278"/>
      <c r="L52" s="278">
        <f ca="1">IF(K50=0,0,L51/K50)</f>
        <v>4.9914846167906195E-2</v>
      </c>
      <c r="M52" s="278"/>
      <c r="N52" s="278">
        <f ca="1">IF(M50=0,0,N51/M50)</f>
        <v>3.1814740131544839E-2</v>
      </c>
      <c r="O52" s="278"/>
      <c r="P52" s="278">
        <f ca="1">IF(O50=0,0,P51/O50)</f>
        <v>0.27669984991612434</v>
      </c>
      <c r="Q52" s="278"/>
      <c r="R52" s="278">
        <f ca="1">IF(Q50=0,0,R51/Q50)</f>
        <v>6.8135553062981011E-2</v>
      </c>
      <c r="S52" s="278"/>
      <c r="T52" s="278">
        <f ca="1">IF(S50=0,0,T51/S50)</f>
        <v>0</v>
      </c>
      <c r="U52" s="278"/>
      <c r="V52" s="278">
        <f ca="1">IF(U50=0,0,V51/U50)</f>
        <v>0</v>
      </c>
      <c r="W52" s="278"/>
      <c r="X52" s="278">
        <f ca="1">IF(W50=0,0,X51/W50)</f>
        <v>0</v>
      </c>
      <c r="Y52" s="278"/>
      <c r="Z52" s="278">
        <f ca="1">IF(Y50=0,0,Z51/Y50)</f>
        <v>0.78358313680032821</v>
      </c>
      <c r="AA52" s="278"/>
      <c r="AB52" s="278">
        <f ca="1">IF(AA50=0,0,AB51/AA50)</f>
        <v>0.34884853044665054</v>
      </c>
      <c r="AC52" s="278"/>
      <c r="AD52" s="278">
        <f ca="1">IF(AC50=0,0,AD51/AC50)</f>
        <v>0.23051731734947856</v>
      </c>
      <c r="AE52" s="278"/>
      <c r="AF52" s="278">
        <f ca="1">IF(AE50=0,0,AF51/AE50)</f>
        <v>0.14529884452024883</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1186</v>
      </c>
      <c r="B53" s="290" t="s">
        <v>837</v>
      </c>
      <c r="C53" s="291">
        <f ca="1">'Расчет базового уровня'!D53</f>
        <v>73768.596354734764</v>
      </c>
      <c r="D53" s="301">
        <f ca="1">IF((IF(C140=0,0,B140/C140*D140)+IF(C141=0,0,B141/C141*D141)+IF(C142=0,0,B142/C142*D142))*0.024*$D$149&gt;C53,C53,(IF(C140=0,0,B140/C140*D140)+IF(C141=0,0,B141/C141*D141)+IF(C142=0,0,B142/C142*D142))*0.024*$D$149)</f>
        <v>61999.109302177363</v>
      </c>
      <c r="E53" s="50"/>
      <c r="F53" s="50"/>
      <c r="G53" s="302" t="s">
        <v>1186</v>
      </c>
      <c r="H53" s="294" t="s">
        <v>837</v>
      </c>
      <c r="I53" s="291">
        <f ca="1">'Расчет базового уровня'!J53</f>
        <v>11773.74036115655</v>
      </c>
      <c r="J53" s="303">
        <f ca="1">IF((IF(C140=0,0,B140/C140*D140)+IF(C141=0,0,B141/C141*D141)+IF(C142=0,0,B142/C142*D142))*0.024*G$149&gt;I53,I53,(IF(C140=0,0,B140/C140*D140)+IF(C141=0,0,B141/C141*D141)+IF(C142=0,0,B142/C142*D142))*0.024*G$149)</f>
        <v>10714.254309081251</v>
      </c>
      <c r="K53" s="291">
        <f ca="1">'Расчет базового уровня'!M53</f>
        <v>10414.342230916573</v>
      </c>
      <c r="L53" s="303">
        <f ca="1">IF((IF($C$140=0,0,$B$140/$C$140*$D$140)+IF($C$141=0,0,$B$141/$C$141*$D$141)+IF($C$142=0,0,$B$142/$C$142*$D$142))*0.024*$H$149&gt;K53,K53,(IF($C$140=0,0,$B$140/$C$140*$D$140)+IF($C$141=0,0,$B$141/$C$141*$D$141)+IF($C$142=0,0,$B$142/$C$142*$D$142))*0.024*$H$149)</f>
        <v>9894.5119405204441</v>
      </c>
      <c r="M53" s="291">
        <f ca="1">'Расчет базового уровня'!P53</f>
        <v>10250.539716667183</v>
      </c>
      <c r="N53" s="303">
        <f ca="1">IF((IF($C$140=0,0,$B$140/$C$140*$D$140)+IF($C$141=0,0,$B$141/$C$141*$D$141)+IF($C$142=0,0,$B$142/$C$142*$D$142))*0.024*$I$149&gt;M53,M53,(IF($C$140=0,0,$B$140/$C$140*$D$140)+IF($C$141=0,0,$B$141/$C$141*$D$141)+IF($C$142=0,0,$B$142/$C$142*$D$142))*0.024*$I$149)</f>
        <v>9924.4214593733395</v>
      </c>
      <c r="O53" s="291">
        <f ca="1">'Расчет базового уровня'!S53</f>
        <v>7994.6160353425621</v>
      </c>
      <c r="P53" s="303">
        <f ca="1">IF((IF($C$140=0,0,$B$140/$C$140*$D$140)+IF($C$141=0,0,$B$141/$C$141*$D$141)+IF($C$142=0,0,$B$142/$C$142*$D$142))*0.024*$J$149&gt;O53,O53,(IF($C$140=0,0,$B$140/$C$140*$D$140)+IF($C$141=0,0,$B$141/$C$141*$D$141)+IF($C$142=0,0,$B$142/$C$142*$D$142))*0.024*$J$149)</f>
        <v>5782.5069782262344</v>
      </c>
      <c r="Q53" s="291">
        <f ca="1">'Расчет базового уровня'!V53</f>
        <v>1854.4602054547302</v>
      </c>
      <c r="R53" s="303">
        <f ca="1">IF((IF($C$140=0,0,$B$140/$C$140*$D$140)+IF($C$141=0,0,$B$141/$C$141*$D$141)+IF($C$142=0,0,$B$142/$C$142*$D$142))*0.024*$K$149&gt;Q53,Q53,(IF($C$140=0,0,$B$140/$C$140*$D$140)+IF($C$141=0,0,$B$141/$C$141*$D$141)+IF($C$142=0,0,$B$142/$C$142*$D$142))*0.024*$K$149)</f>
        <v>1728.1055337227826</v>
      </c>
      <c r="S53" s="291">
        <f ca="1">'Расчет базового уровня'!Y53</f>
        <v>0</v>
      </c>
      <c r="T53" s="303">
        <f ca="1">IF((IF($C$140=0,0,$B$140/$C$140*$D$140)+IF($C$141=0,0,$B$141/$C$141*$D$141)+IF($C$142=0,0,$B$142/$C$142*$D$142))*0.024*$L$149&gt;S53,S53,(IF($C$140=0,0,$B$140/$C$140*$D$140)+IF($C$141=0,0,$B$141/$C$141*$D$141)+IF($C$142=0,0,$B$142/$C$142*$D$142))*0.024*$L$149)</f>
        <v>0</v>
      </c>
      <c r="U53" s="291">
        <f ca="1">'Расчет базового уровня'!AB53</f>
        <v>0</v>
      </c>
      <c r="V53" s="303">
        <f ca="1">IF((IF($C$140=0,0,$B$140/$C$140*$D$140)+IF($C$141=0,0,$B$141/$C$141*$D$141)+IF($C$142=0,0,$B$142/$C$142*$D$142))*0.024*$M$149&gt;U53,U53,(IF($C$140=0,0,$B$140/$C$140*$D$140)+IF($C$141=0,0,$B$141/$C$141*$D$141)+IF($C$142=0,0,$B$142/$C$142*$D$142))*0.024*$M$149)</f>
        <v>0</v>
      </c>
      <c r="W53" s="291">
        <f ca="1">'Расчет базового уровня'!AE53</f>
        <v>0</v>
      </c>
      <c r="X53" s="303">
        <f ca="1">IF((IF($C$140=0,0,$B$140/$C$140*$D$140)+IF($C$141=0,0,$B$141/$C$141*$D$141)+IF($C$142=0,0,$B$142/$C$142*$D$142))*0.024*$N$149&gt;W53,W53,(IF($C$140=0,0,$B$140/$C$140*$D$140)+IF($C$141=0,0,$B$141/$C$141*$D$141)+IF($C$142=0,0,$B$142/$C$142*$D$142))*0.024*$N$149)</f>
        <v>0</v>
      </c>
      <c r="Y53" s="291">
        <f ca="1">'Расчет базового уровня'!AH53</f>
        <v>2215.1909829983051</v>
      </c>
      <c r="Z53" s="303">
        <f ca="1">IF((IF($C$140=0,0,$B$140/$C$140*$D$140)+IF($C$141=0,0,$B$141/$C$141*$D$141)+IF($C$142=0,0,$B$142/$C$142*$D$142))*0.024*$O$149&gt;Y53,Y53,(IF($C$140=0,0,$B$140/$C$140*$D$140)+IF($C$141=0,0,$B$141/$C$141*$D$141)+IF($C$142=0,0,$B$142/$C$142*$D$142))*0.024*$O$149)</f>
        <v>1595.17433882103</v>
      </c>
      <c r="AA53" s="291">
        <f ca="1">'Расчет базового уровня'!AK53</f>
        <v>9018.2327912319961</v>
      </c>
      <c r="AB53" s="303">
        <f ca="1">IF((IF($C$140=0,0,$B$140/$C$140*$D$140)+IF($C$141=0,0,$B$141/$C$141*$D$141)+IF($C$142=0,0,$B$142/$C$142*$D$142))*0.024*$P$149&gt;AA53,AA53,(IF($C$140=0,0,$B$140/$C$140*$D$140)+IF($C$141=0,0,$B$141/$C$141*$D$141)+IF($C$142=0,0,$B$142/$C$142*$D$142))*0.024*$P$149)</f>
        <v>5872.235534784917</v>
      </c>
      <c r="AC53" s="291">
        <f ca="1">'Расчет базового уровня'!AN53</f>
        <v>9199.1493611471287</v>
      </c>
      <c r="AD53" s="303">
        <f ca="1">IF((IF($C$140=0,0,$B$140/$C$140*$D$140)+IF($C$141=0,0,$B$141/$C$141*$D$141)+IF($C$142=0,0,$B$142/$C$142*$D$142))*0.024*$Q$149&gt;AC53,AC53,(IF($C$140=0,0,$B$140/$C$140*$D$140)+IF($C$141=0,0,$B$141/$C$141*$D$141)+IF($C$142=0,0,$B$142/$C$142*$D$142))*0.024*$Q$149)</f>
        <v>7078.5861285183209</v>
      </c>
      <c r="AE53" s="291">
        <f ca="1">'Расчет базового уровня'!AQ53</f>
        <v>11008.892428427242</v>
      </c>
      <c r="AF53" s="303">
        <f ca="1">IF((IF($C$140=0,0,$B$140/$C$140*$D$140)+IF($C$141=0,0,$B$141/$C$141*$D$141)+IF($C$142=0,0,$B$142/$C$142*$D$142))*0.024*$R$149&gt;AE53,AE53,(IF($C$140=0,0,$B$140/$C$140*$D$140)+IF($C$141=0,0,$B$141/$C$141*$D$141)+IF($C$142=0,0,$B$142/$C$142*$D$142))*0.024*$R$149)</f>
        <v>9409.3130791290478</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1302</v>
      </c>
      <c r="B54" s="272" t="s">
        <v>837</v>
      </c>
      <c r="C54" s="276"/>
      <c r="D54" s="276">
        <f ca="1">C53-D53</f>
        <v>11769.487052557401</v>
      </c>
      <c r="E54" s="50"/>
      <c r="F54" s="50"/>
      <c r="G54" s="275" t="s">
        <v>1302</v>
      </c>
      <c r="H54" s="272" t="s">
        <v>837</v>
      </c>
      <c r="I54" s="276"/>
      <c r="J54" s="276">
        <f ca="1">I53-J53</f>
        <v>1059.4860520752991</v>
      </c>
      <c r="K54" s="276"/>
      <c r="L54" s="276">
        <f ca="1">K53-L53</f>
        <v>519.83029039612848</v>
      </c>
      <c r="M54" s="276"/>
      <c r="N54" s="276">
        <f ca="1">M53-N53</f>
        <v>326.11825729384327</v>
      </c>
      <c r="O54" s="276"/>
      <c r="P54" s="276">
        <f ca="1">O53-P53</f>
        <v>2212.1090571163277</v>
      </c>
      <c r="Q54" s="276"/>
      <c r="R54" s="276">
        <f ca="1">Q53-R53</f>
        <v>126.35467173194752</v>
      </c>
      <c r="S54" s="276"/>
      <c r="T54" s="276">
        <f ca="1">S53-T53</f>
        <v>0</v>
      </c>
      <c r="U54" s="276"/>
      <c r="V54" s="276">
        <f ca="1">U53-V53</f>
        <v>0</v>
      </c>
      <c r="W54" s="276"/>
      <c r="X54" s="276">
        <f ca="1">W53-X53</f>
        <v>0</v>
      </c>
      <c r="Y54" s="276"/>
      <c r="Z54" s="276">
        <f ca="1">Y53-Z53</f>
        <v>620.01664417727511</v>
      </c>
      <c r="AA54" s="276"/>
      <c r="AB54" s="276">
        <f ca="1">AA53-AB53</f>
        <v>3145.9972564470791</v>
      </c>
      <c r="AC54" s="276"/>
      <c r="AD54" s="276">
        <f ca="1">AC53-AD53</f>
        <v>2120.5632326288078</v>
      </c>
      <c r="AE54" s="276"/>
      <c r="AF54" s="276">
        <f ca="1">AE53-AF53</f>
        <v>1599.5793492981938</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1164</v>
      </c>
      <c r="C55" s="278"/>
      <c r="D55" s="278">
        <f ca="1">IF(C53=0,0,D54/C53)</f>
        <v>0.15954603495450659</v>
      </c>
      <c r="E55" s="50"/>
      <c r="F55" s="50"/>
      <c r="G55" s="275" t="s">
        <v>868</v>
      </c>
      <c r="H55" s="277" t="s">
        <v>1164</v>
      </c>
      <c r="I55" s="278"/>
      <c r="J55" s="278">
        <f ca="1">IF(I53=0,0,J54/I53)</f>
        <v>8.9987210485013985E-2</v>
      </c>
      <c r="K55" s="278"/>
      <c r="L55" s="278">
        <f ca="1">IF(K53=0,0,L54/K53)</f>
        <v>4.9914846167906077E-2</v>
      </c>
      <c r="M55" s="278"/>
      <c r="N55" s="278">
        <f ca="1">IF(M53=0,0,N54/M53)</f>
        <v>3.1814740131544603E-2</v>
      </c>
      <c r="O55" s="278"/>
      <c r="P55" s="278">
        <f ca="1">IF(O53=0,0,P54/O53)</f>
        <v>0.27669984991612429</v>
      </c>
      <c r="Q55" s="278"/>
      <c r="R55" s="278">
        <f ca="1">IF(Q53=0,0,R54/Q53)</f>
        <v>6.8135553062981052E-2</v>
      </c>
      <c r="S55" s="278"/>
      <c r="T55" s="278">
        <f ca="1">IF(S53=0,0,T54/S53)</f>
        <v>0</v>
      </c>
      <c r="U55" s="278"/>
      <c r="V55" s="278">
        <f ca="1">IF(U53=0,0,V54/U53)</f>
        <v>0</v>
      </c>
      <c r="W55" s="278"/>
      <c r="X55" s="278">
        <f ca="1">IF(W53=0,0,X54/W53)</f>
        <v>0</v>
      </c>
      <c r="Y55" s="278"/>
      <c r="Z55" s="278">
        <f ca="1">IF(Y53=0,0,Z54/Y53)</f>
        <v>0.27989308774545041</v>
      </c>
      <c r="AA55" s="278"/>
      <c r="AB55" s="278">
        <f ca="1">IF(AA53=0,0,AB54/AA53)</f>
        <v>0.34884853044665076</v>
      </c>
      <c r="AC55" s="278"/>
      <c r="AD55" s="278">
        <f ca="1">IF(AC53=0,0,AD54/AC53)</f>
        <v>0.23051731734947881</v>
      </c>
      <c r="AE55" s="278"/>
      <c r="AF55" s="278">
        <f ca="1">IF(AE53=0,0,AF54/AE53)</f>
        <v>0.14529884452024877</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1187</v>
      </c>
      <c r="B56" s="290" t="s">
        <v>837</v>
      </c>
      <c r="C56" s="291">
        <f ca="1">'Расчет базового уровня'!D56</f>
        <v>67116.8274817692</v>
      </c>
      <c r="D56" s="301">
        <f ca="1">IF((IF(C144=0,0,B144/C144*D144)+IF(C143=0,0,B143/C143*D143))*0.024*$D$149&gt;C56,C56,(IF(C144=0,0,B144/C144*D144)+IF(C143=0,0,B143/C143*D143))*0.024*$D$149)</f>
        <v>56408.603778327262</v>
      </c>
      <c r="E56" s="50"/>
      <c r="F56" s="50"/>
      <c r="G56" s="302" t="s">
        <v>1187</v>
      </c>
      <c r="H56" s="294" t="s">
        <v>837</v>
      </c>
      <c r="I56" s="291">
        <f ca="1">'Расчет базового уровня'!J56</f>
        <v>10712.093488060085</v>
      </c>
      <c r="J56" s="303">
        <f ca="1">IF((IF($C$144=0,0,$B$144/$C$144*$D$144)+IF($C$143=0,0,$B$143/$C$143*$D$143))*0.024*$G$149&gt;I56,I56,(IF($C$144=0,0,$B$144/$C$144*$D$144)+IF($C$143=0,0,$B$143/$C$143*$D$143))*0.024*$G$149)</f>
        <v>9748.1420766148749</v>
      </c>
      <c r="K56" s="291">
        <f ca="1">'Расчет базового уровня'!M56</f>
        <v>9475.2732922736141</v>
      </c>
      <c r="L56" s="303">
        <f ca="1">IF((IF($C$144=0,0,$B$144/$C$144*$D$144)+IF($C$143=0,0,$B$143/$C$143*$D$143))*0.024*$H$149&gt;K56,K56,(IF($C$144=0,0,$B$144/$C$144*$D$144)+IF($C$143=0,0,$B$143/$C$143*$D$143))*0.024*$H$149)</f>
        <v>9002.3164834909076</v>
      </c>
      <c r="M56" s="291">
        <f ca="1">'Расчет базового уровня'!P56</f>
        <v>9326.2409718389226</v>
      </c>
      <c r="N56" s="303">
        <f ca="1">IF((IF($C$144=0,0,$B$144/$C$144*$D$144)+IF($C$143=0,0,$B$143/$C$143*$D$143))*0.024*$I$149&gt;M56,M56,(IF($C$144=0,0,$B$144/$C$144*$D$144)+IF($C$143=0,0,$B$143/$C$143*$D$143))*0.024*$I$149)</f>
        <v>9029.5290389157017</v>
      </c>
      <c r="O56" s="291">
        <f ca="1">'Расчет базового уровня'!S56</f>
        <v>7273.7355967412686</v>
      </c>
      <c r="P56" s="303">
        <f ca="1">IF((IF($C$144=0,0,$B$144/$C$144*$D$144)+IF($C$143=0,0,$B$143/$C$143*$D$143))*0.024*$J$149&gt;O56,O56,(IF($C$144=0,0,$B$144/$C$144*$D$144)+IF($C$143=0,0,$B$143/$C$143*$D$143))*0.024*$J$149)</f>
        <v>5261.0940487933885</v>
      </c>
      <c r="Q56" s="291">
        <f ca="1">'Расчет базового уровня'!V56</f>
        <v>1687.2421576626991</v>
      </c>
      <c r="R56" s="303">
        <f ca="1">IF((IF($C$144=0,0,$B$144/$C$144*$D$144)+IF($C$143=0,0,$B$143/$C$143*$D$143))*0.024*$K$149&gt;Q56,Q56,(IF($C$144=0,0,$B$144/$C$144*$D$144)+IF($C$143=0,0,$B$143/$C$143*$D$143))*0.024*$K$149)</f>
        <v>1572.2809800991736</v>
      </c>
      <c r="S56" s="291">
        <f ca="1">'Расчет базового уровня'!Y56</f>
        <v>0</v>
      </c>
      <c r="T56" s="303">
        <f ca="1">IF((IF($C$144=0,0,$B$144/$C$144*$D$144)+IF($C$143=0,0,$B$143/$C$143*$D$143))*0.024*$L$149&gt;S56,S56,(IF($C$144=0,0,$B$144/$C$144*$D$144)+IF($C$143=0,0,$B$143/$C$143*$D$143))*0.024*$L$149)</f>
        <v>0</v>
      </c>
      <c r="U56" s="291">
        <f ca="1">'Расчет базового уровня'!AB56</f>
        <v>0</v>
      </c>
      <c r="V56" s="303">
        <f ca="1">IF((IF($C$144=0,0,$B$144/$C$144*$D$144)+IF($C$143=0,0,$B$143/$C$143*$D$143))*0.024*$M$149&gt;U56,U56,(IF($C$144=0,0,$B$144/$C$144*$D$144)+IF($C$143=0,0,$B$143/$C$143*$D$143))*0.024*$M$149)</f>
        <v>0</v>
      </c>
      <c r="W56" s="291">
        <f ca="1">'Расчет базового уровня'!AE56</f>
        <v>0</v>
      </c>
      <c r="X56" s="303">
        <f ca="1">IF((IF($C$144=0,0,$B$144/$C$144*$D$144)+IF($C$143=0,0,$B$143/$C$143*$D$143))*0.024*$N$149&gt;W56,W56,(IF($C$144=0,0,$B$144/$C$144*$D$144)+IF($C$143=0,0,$B$143/$C$143*$D$143))*0.024*$N$149)</f>
        <v>0</v>
      </c>
      <c r="Y56" s="291">
        <f ca="1">'Расчет базового уровня'!AH56</f>
        <v>2015.4455742945054</v>
      </c>
      <c r="Z56" s="303">
        <f ca="1">IF((IF($C$144=0,0,$B$144/$C$144*$D$144)+IF($C$143=0,0,$B$143/$C$143*$D$143))*0.024*$O$149&gt;Y56,Y56,(IF($C$144=0,0,$B$144/$C$144*$D$144)+IF($C$143=0,0,$B$143/$C$143*$D$143))*0.024*$O$149)</f>
        <v>1451.3362893223141</v>
      </c>
      <c r="AA56" s="291">
        <f ca="1">'Расчет базового уровня'!AK56</f>
        <v>8205.0520729570981</v>
      </c>
      <c r="AB56" s="303">
        <f ca="1">IF((IF($C$144=0,0,$B$144/$C$144*$D$144)+IF($C$143=0,0,$B$143/$C$143*$D$143))*0.024*$P$149&gt;AA56,AA56,(IF($C$144=0,0,$B$144/$C$144*$D$144)+IF($C$143=0,0,$B$143/$C$143*$D$143))*0.024*$P$149)</f>
        <v>5342.7317150677691</v>
      </c>
      <c r="AC56" s="291">
        <f ca="1">'Расчет базового уровня'!AN56</f>
        <v>8369.6552620051407</v>
      </c>
      <c r="AD56" s="303">
        <f ca="1">IF((IF($C$144=0,0,$B$144/$C$144*$D$144)+IF($C$143=0,0,$B$143/$C$143*$D$143))*0.024*$Q$149&gt;AC56,AC56,(IF($C$144=0,0,$B$144/$C$144*$D$144)+IF($C$143=0,0,$B$143/$C$143*$D$143))*0.024*$Q$149)</f>
        <v>6440.3047838677685</v>
      </c>
      <c r="AE56" s="291">
        <f ca="1">'Расчет базового уровня'!AQ56</f>
        <v>10016.212458903348</v>
      </c>
      <c r="AF56" s="303">
        <f ca="1">IF((IF($C$144=0,0,$B$144/$C$144*$D$144)+IF($C$143=0,0,$B$143/$C$143*$D$143))*0.024*$R$149&gt;AE56,AE56,(IF($C$144=0,0,$B$144/$C$144*$D$144)+IF($C$143=0,0,$B$143/$C$143*$D$143))*0.024*$R$149)</f>
        <v>8560.8683621553719</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1302</v>
      </c>
      <c r="B57" s="272" t="s">
        <v>837</v>
      </c>
      <c r="C57" s="276"/>
      <c r="D57" s="276">
        <f ca="1">C56-D56</f>
        <v>10708.223703441938</v>
      </c>
      <c r="E57" s="50"/>
      <c r="F57" s="50"/>
      <c r="G57" s="275" t="s">
        <v>1302</v>
      </c>
      <c r="H57" s="272" t="s">
        <v>837</v>
      </c>
      <c r="I57" s="276"/>
      <c r="J57" s="276">
        <f ca="1">I56-J56</f>
        <v>963.9514114452104</v>
      </c>
      <c r="K57" s="276"/>
      <c r="L57" s="276">
        <f ca="1">K56-L56</f>
        <v>472.9568087827065</v>
      </c>
      <c r="M57" s="276"/>
      <c r="N57" s="276">
        <f ca="1">M56-N56</f>
        <v>296.71193292322096</v>
      </c>
      <c r="O57" s="276"/>
      <c r="P57" s="276">
        <f ca="1">O56-P56</f>
        <v>2012.6415479478801</v>
      </c>
      <c r="Q57" s="276"/>
      <c r="R57" s="276">
        <f ca="1">Q56-R56</f>
        <v>114.96117756352555</v>
      </c>
      <c r="S57" s="276"/>
      <c r="T57" s="276">
        <f ca="1">S56-T56</f>
        <v>0</v>
      </c>
      <c r="U57" s="276"/>
      <c r="V57" s="276">
        <f ca="1">U56-V56</f>
        <v>0</v>
      </c>
      <c r="W57" s="276"/>
      <c r="X57" s="276">
        <f ca="1">W56-X56</f>
        <v>0</v>
      </c>
      <c r="Y57" s="276"/>
      <c r="Z57" s="276">
        <f ca="1">Y56-Z56</f>
        <v>564.10928497219129</v>
      </c>
      <c r="AA57" s="276"/>
      <c r="AB57" s="276">
        <f ca="1">AA56-AB56</f>
        <v>2862.320357889329</v>
      </c>
      <c r="AC57" s="276"/>
      <c r="AD57" s="276">
        <f ca="1">AC56-AD56</f>
        <v>1929.3504781373722</v>
      </c>
      <c r="AE57" s="276"/>
      <c r="AF57" s="276">
        <f ca="1">AE56-AF56</f>
        <v>1455.3440967479764</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1164</v>
      </c>
      <c r="C58" s="278"/>
      <c r="D58" s="278">
        <f ca="1">IF(C56=0,0,D57/C56)</f>
        <v>0.15954603495450659</v>
      </c>
      <c r="E58" s="50"/>
      <c r="F58" s="50"/>
      <c r="G58" s="275" t="s">
        <v>868</v>
      </c>
      <c r="H58" s="277" t="s">
        <v>1164</v>
      </c>
      <c r="I58" s="278"/>
      <c r="J58" s="278">
        <f ca="1">IF(I56=0,0,J57/I56)</f>
        <v>8.9987210485013971E-2</v>
      </c>
      <c r="K58" s="278"/>
      <c r="L58" s="278">
        <f ca="1">IF(K56=0,0,L57/K56)</f>
        <v>4.9914846167906091E-2</v>
      </c>
      <c r="M58" s="278"/>
      <c r="N58" s="278">
        <f ca="1">IF(M56=0,0,N57/M56)</f>
        <v>3.1814740131544776E-2</v>
      </c>
      <c r="O58" s="278"/>
      <c r="P58" s="278">
        <f ca="1">IF(O56=0,0,P57/O56)</f>
        <v>0.27669984991612434</v>
      </c>
      <c r="Q58" s="278"/>
      <c r="R58" s="278">
        <f ca="1">IF(Q56=0,0,R57/Q56)</f>
        <v>6.8135553062981094E-2</v>
      </c>
      <c r="S58" s="278"/>
      <c r="T58" s="278">
        <f ca="1">IF(S56=0,0,T57/S56)</f>
        <v>0</v>
      </c>
      <c r="U58" s="278"/>
      <c r="V58" s="278">
        <f ca="1">IF(U56=0,0,V57/U56)</f>
        <v>0</v>
      </c>
      <c r="W58" s="278"/>
      <c r="X58" s="278">
        <f ca="1">IF(W56=0,0,X57/W56)</f>
        <v>0</v>
      </c>
      <c r="Y58" s="278"/>
      <c r="Z58" s="278">
        <f ca="1">IF(Y56=0,0,Z57/Y56)</f>
        <v>0.27989308774545019</v>
      </c>
      <c r="AA58" s="278"/>
      <c r="AB58" s="278">
        <f ca="1">IF(AA56=0,0,AB57/AA56)</f>
        <v>0.34884853044665076</v>
      </c>
      <c r="AC58" s="278"/>
      <c r="AD58" s="278">
        <f ca="1">IF(AC56=0,0,AD57/AC56)</f>
        <v>0.23051731734947856</v>
      </c>
      <c r="AE58" s="278"/>
      <c r="AF58" s="278">
        <f ca="1">IF(AE56=0,0,AF57/AE56)</f>
        <v>0.1452988445202488</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1188</v>
      </c>
      <c r="B59" s="290" t="s">
        <v>837</v>
      </c>
      <c r="C59" s="291">
        <f ca="1">'Расчет базового уровня'!D59</f>
        <v>2018.8067114078228</v>
      </c>
      <c r="D59" s="304">
        <f ca="1">IF(IF(C145=0,0,B145/C145*D145)*0.024*$D$149&gt;C59,C59,IF(C145=0,0,B145/C145*D145)*0.024*$D$149)</f>
        <v>1696.7141052631578</v>
      </c>
      <c r="E59" s="50"/>
      <c r="F59" s="50"/>
      <c r="G59" s="302" t="s">
        <v>1188</v>
      </c>
      <c r="H59" s="294" t="s">
        <v>837</v>
      </c>
      <c r="I59" s="291">
        <f ca="1">'Расчет базового уровня'!J59</f>
        <v>322.20900537645139</v>
      </c>
      <c r="J59" s="305">
        <f ca="1">IF($C145=0,0,MIN($B145/$C145*$D145*0.024*$G$149,I59))</f>
        <v>293.21431578947369</v>
      </c>
      <c r="K59" s="291">
        <f ca="1">'Расчет базового уровня'!M59</f>
        <v>285.00669701739361</v>
      </c>
      <c r="L59" s="305">
        <f ca="1">IF($C145=0,0,MIN($B145/$C145*$D145*0.024*$H$149,K59))</f>
        <v>270.78063157894735</v>
      </c>
      <c r="M59" s="291">
        <f ca="1">'Расчет базового уровня'!P59</f>
        <v>280.52395461137087</v>
      </c>
      <c r="N59" s="305">
        <f ca="1">IF($C145=0,0,MIN($B145/$C145*$D145*0.024*$I$149,M59))</f>
        <v>271.59915789473683</v>
      </c>
      <c r="O59" s="291">
        <f ca="1">'Расчет базового уровня'!S59</f>
        <v>218.78665590527075</v>
      </c>
      <c r="P59" s="305">
        <f ca="1">IF($C145=0,0,MIN($B145/$C145*$D145*0.024*$J$149,O59))</f>
        <v>158.24842105263158</v>
      </c>
      <c r="Q59" s="291">
        <f ca="1">'Расчет базового уровня'!V59</f>
        <v>50.750548252372262</v>
      </c>
      <c r="R59" s="305">
        <f ca="1">IF($C145=0,0,MIN($B145/$C145*$D145*0.024*$K$149,Q59))</f>
        <v>47.292631578947372</v>
      </c>
      <c r="S59" s="291">
        <f ca="1">'Расчет базового уровня'!Y59</f>
        <v>0</v>
      </c>
      <c r="T59" s="305">
        <f ca="1">IF($C145=0,0,MIN($B145/$C145*$D145*0.024*$L$149,S59))</f>
        <v>0</v>
      </c>
      <c r="U59" s="291">
        <f ca="1">'Расчет базового уровня'!AB59</f>
        <v>0</v>
      </c>
      <c r="V59" s="305">
        <f ca="1">IF($C145=0,0,MIN($B145/$C145*$D145*0.024*$M$149,U59))</f>
        <v>0</v>
      </c>
      <c r="W59" s="291">
        <f ca="1">'Расчет базового уровня'!AE59</f>
        <v>0</v>
      </c>
      <c r="X59" s="305">
        <f ca="1">IF($C145=0,0,MIN($B145/$C145*$D145*0.024*$N$149,W59))</f>
        <v>0</v>
      </c>
      <c r="Y59" s="291">
        <f ca="1">'Расчет базового уровня'!AH59</f>
        <v>60.622577146813732</v>
      </c>
      <c r="Z59" s="305">
        <f ca="1">IF($C145=0,0,MIN($B145/$C145*$D145*0.024*$O$149,Y59))</f>
        <v>43.654736842105265</v>
      </c>
      <c r="AA59" s="291">
        <f ca="1">'Расчет базового уровня'!AK59</f>
        <v>246.79971944198067</v>
      </c>
      <c r="AB59" s="305">
        <f ca="1">IF($C145=0,0,MIN($B145/$C145*$D145*0.024*$P$149,AA59))</f>
        <v>160.70400000000001</v>
      </c>
      <c r="AC59" s="291">
        <f ca="1">'Расчет базового уровня'!AN59</f>
        <v>251.75081792558504</v>
      </c>
      <c r="AD59" s="305">
        <f ca="1">IF($C145=0,0,MIN($B145/$C145*$D145*0.024*$Q$149,AC59))</f>
        <v>193.71789473684211</v>
      </c>
      <c r="AE59" s="291">
        <f ca="1">'Расчет базового уровня'!AQ59</f>
        <v>301.27760345068845</v>
      </c>
      <c r="AF59" s="305">
        <f ca="1">IF($C145=0,0,MIN($B145/$C145*$D145*0.024*$R$149,AE59))</f>
        <v>257.5023157894737</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1302</v>
      </c>
      <c r="B60" s="272" t="s">
        <v>837</v>
      </c>
      <c r="C60" s="276"/>
      <c r="D60" s="276">
        <f ca="1">C59-D59</f>
        <v>322.09260614466507</v>
      </c>
      <c r="E60" s="50"/>
      <c r="F60" s="50"/>
      <c r="G60" s="275" t="s">
        <v>1302</v>
      </c>
      <c r="H60" s="272" t="s">
        <v>837</v>
      </c>
      <c r="I60" s="276"/>
      <c r="J60" s="276">
        <f ca="1">I59-J59</f>
        <v>28.994689586977699</v>
      </c>
      <c r="K60" s="276"/>
      <c r="L60" s="276">
        <f ca="1">K59-L59</f>
        <v>14.226065438446255</v>
      </c>
      <c r="M60" s="276"/>
      <c r="N60" s="276">
        <f ca="1">M59-N59</f>
        <v>8.9247967166340345</v>
      </c>
      <c r="O60" s="276"/>
      <c r="P60" s="276">
        <f ca="1">O59-P59</f>
        <v>60.538234852639164</v>
      </c>
      <c r="Q60" s="276"/>
      <c r="R60" s="276">
        <f ca="1">Q59-R59</f>
        <v>3.4579166734248901</v>
      </c>
      <c r="S60" s="276"/>
      <c r="T60" s="276">
        <f ca="1">S59-T59</f>
        <v>0</v>
      </c>
      <c r="U60" s="276"/>
      <c r="V60" s="276">
        <f ca="1">U59-V59</f>
        <v>0</v>
      </c>
      <c r="W60" s="276"/>
      <c r="X60" s="276">
        <f ca="1">W59-X59</f>
        <v>0</v>
      </c>
      <c r="Y60" s="276"/>
      <c r="Z60" s="276">
        <f ca="1">Y59-Z59</f>
        <v>16.967840304708467</v>
      </c>
      <c r="AA60" s="276"/>
      <c r="AB60" s="276">
        <f ca="1">AA59-AB59</f>
        <v>86.095719441980663</v>
      </c>
      <c r="AC60" s="276"/>
      <c r="AD60" s="276">
        <f ca="1">AC59-AD59</f>
        <v>58.032923188742927</v>
      </c>
      <c r="AE60" s="276"/>
      <c r="AF60" s="276">
        <f ca="1">AE59-AF59</f>
        <v>43.775287661214747</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1164</v>
      </c>
      <c r="C61" s="278"/>
      <c r="D61" s="278">
        <f ca="1">IF(C59=0,0,D60/C59)</f>
        <v>0.15954603495450662</v>
      </c>
      <c r="E61" s="50"/>
      <c r="F61" s="50"/>
      <c r="G61" s="275" t="s">
        <v>868</v>
      </c>
      <c r="H61" s="277" t="s">
        <v>1164</v>
      </c>
      <c r="I61" s="278"/>
      <c r="J61" s="278">
        <f ca="1">IF(I59=0,0,J60/I59)</f>
        <v>8.9987210485013874E-2</v>
      </c>
      <c r="K61" s="278"/>
      <c r="L61" s="278">
        <f ca="1">IF(K59=0,0,L60/K59)</f>
        <v>4.9914846167906209E-2</v>
      </c>
      <c r="M61" s="278"/>
      <c r="N61" s="278">
        <f ca="1">IF(M59=0,0,N60/M59)</f>
        <v>3.1814740131544804E-2</v>
      </c>
      <c r="O61" s="278"/>
      <c r="P61" s="278">
        <f ca="1">IF(O59=0,0,P60/O59)</f>
        <v>0.2766998499161244</v>
      </c>
      <c r="Q61" s="278"/>
      <c r="R61" s="278">
        <f ca="1">IF(Q59=0,0,R60/Q59)</f>
        <v>6.8135553062981039E-2</v>
      </c>
      <c r="S61" s="278"/>
      <c r="T61" s="278">
        <f ca="1">IF(S59=0,0,T60/S59)</f>
        <v>0</v>
      </c>
      <c r="U61" s="278"/>
      <c r="V61" s="278">
        <f ca="1">IF(U59=0,0,V60/U59)</f>
        <v>0</v>
      </c>
      <c r="W61" s="278"/>
      <c r="X61" s="278">
        <f ca="1">IF(W59=0,0,X60/W59)</f>
        <v>0</v>
      </c>
      <c r="Y61" s="278"/>
      <c r="Z61" s="278">
        <f ca="1">IF(Y59=0,0,Z60/Y59)</f>
        <v>0.2798930877454503</v>
      </c>
      <c r="AA61" s="278"/>
      <c r="AB61" s="278">
        <f ca="1">IF(AA59=0,0,AB60/AA59)</f>
        <v>0.34884853044665076</v>
      </c>
      <c r="AC61" s="278"/>
      <c r="AD61" s="278">
        <f ca="1">IF(AC59=0,0,AD60/AC59)</f>
        <v>0.23051731734947875</v>
      </c>
      <c r="AE61" s="278"/>
      <c r="AF61" s="278">
        <f ca="1">IF(AE59=0,0,AF60/AE59)</f>
        <v>0.14529884452024877</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1181</v>
      </c>
      <c r="B62" s="290" t="s">
        <v>837</v>
      </c>
      <c r="C62" s="291">
        <f ca="1">'Расчет базового уровня'!D62</f>
        <v>423632.66303041967</v>
      </c>
      <c r="D62" s="292">
        <f ca="1">IF((D153*D154*'Ввод исходных данных'!$D$22*0.28)*D149*0.024+D192*D156+D163&gt;C62,C62,(D153*D154*'Ввод исходных данных'!$D$22*0.28)*D149*0.024+D192*D156+D163)</f>
        <v>356145.22458864417</v>
      </c>
      <c r="E62" s="50"/>
      <c r="F62" s="50"/>
      <c r="G62" s="306" t="s">
        <v>1181</v>
      </c>
      <c r="H62" s="294" t="s">
        <v>837</v>
      </c>
      <c r="I62" s="291">
        <f ca="1">'Расчет базового уровня'!J62</f>
        <v>67613.337239611865</v>
      </c>
      <c r="J62" s="296">
        <f ca="1">MIN(I62,($D$153*$D$154*'Ввод исходных данных'!$D$22*0.28)*$G$149*0.024+$G$192*$D$156+$G$163)</f>
        <v>61529.001629836675</v>
      </c>
      <c r="K62" s="291">
        <f ca="1">'Расчет базового уровня'!M62</f>
        <v>59806.68944516495</v>
      </c>
      <c r="L62" s="296">
        <f ca="1">MIN(K62,($D$153*$D$154*'Ввод исходных данных'!$D$22*0.28)*$H$149*0.024+$H$192*$D$156+$H$163)</f>
        <v>56821.447741697819</v>
      </c>
      <c r="M62" s="291">
        <f ca="1">'Расчет базового уровня'!P62</f>
        <v>58866.01687239622</v>
      </c>
      <c r="N62" s="296">
        <f ca="1">MIN(M62,($D$153*$D$154*'Ввод исходных данных'!$D$22*0.28)*$I$149*0.024+$I$192*$D$156+$I$163)</f>
        <v>56993.209843021803</v>
      </c>
      <c r="O62" s="291">
        <f ca="1">'Расчет базового уровня'!S62</f>
        <v>45910.870591486979</v>
      </c>
      <c r="P62" s="296">
        <f ca="1">MIN(O62,($D$153*$D$154*'Ввод исходных данных'!$D$22*0.28)*$J$149*0.024+$J$192*$D$156+$J$163)</f>
        <v>33207.339589303912</v>
      </c>
      <c r="Q62" s="291">
        <f ca="1">'Расчет базового уровня'!V62</f>
        <v>10649.652482784471</v>
      </c>
      <c r="R62" s="296">
        <f ca="1">MIN(Q62,($D$153*$D$154*'Ввод исходных данных'!$D$22*0.28)*$K$149*0.024+$K$192*$D$156+$K$163)</f>
        <v>9924.0325209414004</v>
      </c>
      <c r="S62" s="291">
        <f ca="1">'Расчет базового уровня'!Y62</f>
        <v>0</v>
      </c>
      <c r="T62" s="296">
        <f ca="1">MIN(S62,($D$153*$D$154*'Ввод исходных данных'!$D$22*0.28)*$L$149*0.024+$L$192*$D$156+$L$163)</f>
        <v>0</v>
      </c>
      <c r="U62" s="291">
        <f ca="1">'Расчет базового уровня'!AB62</f>
        <v>0</v>
      </c>
      <c r="V62" s="296">
        <f ca="1">MIN(U62,($D$153*$D$154*'Ввод исходных данных'!$D$22*0.28)*$M$149*0.024+$M$192*$D$156+$M$163)</f>
        <v>0</v>
      </c>
      <c r="W62" s="291">
        <f ca="1">'Расчет базового уровня'!AE62</f>
        <v>0</v>
      </c>
      <c r="X62" s="296">
        <f ca="1">MIN(W62,($D$153*$D$154*'Ввод исходных данных'!$D$22*0.28)*$N$149*0.024+$N$192*$D$156+$N$163)</f>
        <v>0</v>
      </c>
      <c r="Y62" s="291">
        <f ca="1">'Расчет базового уровня'!AH62</f>
        <v>12721.229650837906</v>
      </c>
      <c r="Z62" s="296">
        <f ca="1">MIN(Y62,($D$153*$D$154*'Ввод исходных данных'!$D$22*0.28)*$O$149*0.024+$O$192*$D$156+$O$163)</f>
        <v>9160.6454039459077</v>
      </c>
      <c r="AA62" s="291">
        <f ca="1">'Расчет базового уровня'!AK62</f>
        <v>51789.21874568997</v>
      </c>
      <c r="AB62" s="296">
        <f ca="1">MIN(AA62,($D$153*$D$154*'Ввод исходных данных'!$D$22*0.28)*$P$149*0.024+$P$192*$D$156+$P$163)</f>
        <v>33722.625893275872</v>
      </c>
      <c r="AC62" s="291">
        <f ca="1">'Расчет базового уровня'!AN62</f>
        <v>52828.17261070486</v>
      </c>
      <c r="AD62" s="296">
        <f ca="1">MIN(AC62,($D$153*$D$154*'Ввод исходных данных'!$D$22*0.28)*$Q$149*0.024+$Q$192*$D$156+$Q$163)</f>
        <v>40650.36398000997</v>
      </c>
      <c r="AE62" s="291">
        <f ca="1">'Расчет базового уровня'!AQ62</f>
        <v>63221.026926462859</v>
      </c>
      <c r="AF62" s="296">
        <f ca="1">MIN(AE62,($D$153*$D$154*'Ввод исходных данных'!$D$22*0.28)*$R$149*0.024+$R$192*$D$156+$R$163)</f>
        <v>54035.084764664265</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1302</v>
      </c>
      <c r="B63" s="272" t="s">
        <v>837</v>
      </c>
      <c r="C63" s="276"/>
      <c r="D63" s="276">
        <f ca="1">C62-D62</f>
        <v>67487.438441775506</v>
      </c>
      <c r="E63" s="285"/>
      <c r="F63" s="50"/>
      <c r="G63" s="275" t="s">
        <v>1302</v>
      </c>
      <c r="H63" s="272" t="s">
        <v>837</v>
      </c>
      <c r="I63" s="276"/>
      <c r="J63" s="276">
        <f ca="1">I62-J62</f>
        <v>6084.3356097751894</v>
      </c>
      <c r="K63" s="276"/>
      <c r="L63" s="276">
        <f ca="1">K62-L62</f>
        <v>2985.2417034671307</v>
      </c>
      <c r="M63" s="276"/>
      <c r="N63" s="276">
        <f ca="1">M62-N62</f>
        <v>1872.8070293744167</v>
      </c>
      <c r="O63" s="276"/>
      <c r="P63" s="276">
        <f ca="1">O62-P62</f>
        <v>12703.531002183066</v>
      </c>
      <c r="Q63" s="276"/>
      <c r="R63" s="276">
        <f ca="1">Q62-R62</f>
        <v>725.619961843071</v>
      </c>
      <c r="S63" s="276"/>
      <c r="T63" s="276">
        <f ca="1">S62-T62</f>
        <v>0</v>
      </c>
      <c r="U63" s="276"/>
      <c r="V63" s="276">
        <f ca="1">U62-V62</f>
        <v>0</v>
      </c>
      <c r="W63" s="276"/>
      <c r="X63" s="276">
        <f ca="1">W62-X62</f>
        <v>0</v>
      </c>
      <c r="Y63" s="276"/>
      <c r="Z63" s="276">
        <f ca="1">Y62-Z62</f>
        <v>3560.5842468919982</v>
      </c>
      <c r="AA63" s="276"/>
      <c r="AB63" s="276">
        <f ca="1">AA62-AB62</f>
        <v>18066.592852414098</v>
      </c>
      <c r="AC63" s="276"/>
      <c r="AD63" s="276">
        <f ca="1">AC62-AD62</f>
        <v>12177.80863069489</v>
      </c>
      <c r="AE63" s="276"/>
      <c r="AF63" s="276">
        <f ca="1">AE62-AF62</f>
        <v>9185.9421617985936</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1164</v>
      </c>
      <c r="C64" s="278"/>
      <c r="D64" s="278">
        <f ca="1">IF(C62=0,0,D63/C62)</f>
        <v>0.1593065037974408</v>
      </c>
      <c r="E64" s="50"/>
      <c r="F64" s="50"/>
      <c r="G64" s="275" t="s">
        <v>868</v>
      </c>
      <c r="H64" s="277" t="s">
        <v>1164</v>
      </c>
      <c r="I64" s="278"/>
      <c r="J64" s="278">
        <f ca="1">IF(I62=0,0,J63/I62)</f>
        <v>8.9987210485014013E-2</v>
      </c>
      <c r="K64" s="278"/>
      <c r="L64" s="278">
        <f ca="1">IF(K62=0,0,L63/K62)</f>
        <v>4.991484616790591E-2</v>
      </c>
      <c r="M64" s="278"/>
      <c r="N64" s="278">
        <f ca="1">IF(M62=0,0,N63/M62)</f>
        <v>3.181474013154479E-2</v>
      </c>
      <c r="O64" s="278"/>
      <c r="P64" s="278">
        <f ca="1">IF(O62=0,0,P63/O62)</f>
        <v>0.27669984991612462</v>
      </c>
      <c r="Q64" s="278"/>
      <c r="R64" s="278">
        <f ca="1">IF(Q62=0,0,R63/Q62)</f>
        <v>6.8135553062981219E-2</v>
      </c>
      <c r="S64" s="278"/>
      <c r="T64" s="278">
        <f ca="1">IF(S62=0,0,T63/S62)</f>
        <v>0</v>
      </c>
      <c r="U64" s="278"/>
      <c r="V64" s="278">
        <f ca="1">IF(U62=0,0,V63/U62)</f>
        <v>0</v>
      </c>
      <c r="W64" s="278"/>
      <c r="X64" s="278">
        <f ca="1">IF(W62=0,0,X63/W62)</f>
        <v>0</v>
      </c>
      <c r="Y64" s="278"/>
      <c r="Z64" s="278">
        <f ca="1">IF(Y62=0,0,Z63/Y62)</f>
        <v>0.2798930877454503</v>
      </c>
      <c r="AA64" s="278"/>
      <c r="AB64" s="278">
        <f ca="1">IF(AA62=0,0,AB63/AA62)</f>
        <v>0.34884853044665104</v>
      </c>
      <c r="AC64" s="278"/>
      <c r="AD64" s="278">
        <f ca="1">IF(AC62=0,0,AD63/AC62)</f>
        <v>0.23051731734947867</v>
      </c>
      <c r="AE64" s="278"/>
      <c r="AF64" s="278">
        <f ca="1">IF(AE62=0,0,AF63/AE62)</f>
        <v>0.14529884452024885</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1189</v>
      </c>
      <c r="B65" s="290" t="s">
        <v>837</v>
      </c>
      <c r="C65" s="291">
        <f ca="1">'Расчет базового уровня'!D65</f>
        <v>117169.96844752469</v>
      </c>
      <c r="D65" s="292">
        <f ca="1">IF((D62+D38-D71*$D$158)*($D$160-1)&gt;C65,C65,(D62+D38-D71*$D$158)*($D$160-1))</f>
        <v>98057.064133630556</v>
      </c>
      <c r="E65" s="50"/>
      <c r="F65" s="50"/>
      <c r="G65" s="307" t="s">
        <v>1189</v>
      </c>
      <c r="H65" s="308" t="s">
        <v>837</v>
      </c>
      <c r="I65" s="291">
        <f ca="1">'Расчет базового уровня'!J65</f>
        <v>19509.539705773805</v>
      </c>
      <c r="J65" s="309">
        <f ca="1">MIN(I65,(J62+J38-J71*$D$158)*($D$160-1))</f>
        <v>17560.578938901941</v>
      </c>
      <c r="K65" s="291">
        <f ca="1">'Расчет базового уровня'!M65</f>
        <v>17149.386146056553</v>
      </c>
      <c r="L65" s="309">
        <f ca="1">MIN(K65,(L62+L38-L71*$D$158)*($D$160-1))</f>
        <v>16266.22292796528</v>
      </c>
      <c r="M65" s="291">
        <f ca="1">'Расчет базового уровня'!P65</f>
        <v>16165.402667797714</v>
      </c>
      <c r="N65" s="309">
        <f ca="1">MIN(M65,(N62+N38-N71*$D$158)*($D$160-1))</f>
        <v>16087.088576726483</v>
      </c>
      <c r="O65" s="291">
        <f ca="1">'Расчет базового уровня'!S65</f>
        <v>11489.300862655289</v>
      </c>
      <c r="P65" s="309">
        <f ca="1">MIN(O65,(P62+P38-P71*$D$158)*($D$160-1))</f>
        <v>8438.3581604991887</v>
      </c>
      <c r="Q65" s="291">
        <f ca="1">'Расчет базового уровня'!V65</f>
        <v>670.32315056587106</v>
      </c>
      <c r="R65" s="309">
        <f ca="1">MIN(Q65,(R62+R38-R71*$D$158)*($D$160-1))</f>
        <v>670.32315056587106</v>
      </c>
      <c r="S65" s="291">
        <f ca="1">'Расчет базового уровня'!Y65</f>
        <v>0</v>
      </c>
      <c r="T65" s="309">
        <f ca="1">MIN(S65,(T62+T38-T71*$D$158)*($D$160-1))</f>
        <v>0</v>
      </c>
      <c r="U65" s="291">
        <f ca="1">'Расчет базового уровня'!AB65</f>
        <v>0</v>
      </c>
      <c r="V65" s="309">
        <f ca="1">MIN(U65,(V62+V38-V71*$D$158)*($D$160-1))</f>
        <v>0</v>
      </c>
      <c r="W65" s="291">
        <f ca="1">'Расчет базового уровня'!AE65</f>
        <v>0</v>
      </c>
      <c r="X65" s="309">
        <f ca="1">MIN(W65,(X62+X38-X71*$D$158)*($D$160-1))</f>
        <v>0</v>
      </c>
      <c r="Y65" s="291">
        <f ca="1">'Расчет базового уровня'!AH65</f>
        <v>1379.2178266873248</v>
      </c>
      <c r="Z65" s="309">
        <f ca="1">MIN(Y65,(Z62+Z38-Z71*$D$158)*($D$160-1))</f>
        <v>1379.2178266873248</v>
      </c>
      <c r="AA65" s="291">
        <f ca="1">'Расчет базового уровня'!AK65</f>
        <v>13222.323210396546</v>
      </c>
      <c r="AB65" s="309">
        <f ca="1">MIN(AA65,(AB62+AB38-AB71*$D$158)*($D$160-1))</f>
        <v>8527.4423707827955</v>
      </c>
      <c r="AC65" s="291">
        <f ca="1">'Расчет базового уровня'!AN65</f>
        <v>14621.383249207684</v>
      </c>
      <c r="AD65" s="309">
        <f ca="1">MIN(AC65,(AD62+AD38-AD71*$D$158)*($D$160-1))</f>
        <v>10856.287646817975</v>
      </c>
      <c r="AE65" s="291">
        <f ca="1">'Расчет базового уровня'!AQ65</f>
        <v>18051.457830522919</v>
      </c>
      <c r="AF65" s="309">
        <f ca="1">MIN(AE65,(AF62+AF38-AF71*$D$158)*($D$160-1))</f>
        <v>15126.11660139466</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1302</v>
      </c>
      <c r="B66" s="272" t="s">
        <v>837</v>
      </c>
      <c r="C66" s="276"/>
      <c r="D66" s="276">
        <f ca="1">C65-D65</f>
        <v>19112.904313894134</v>
      </c>
      <c r="E66" s="50"/>
      <c r="F66" s="50"/>
      <c r="G66" s="275" t="s">
        <v>1302</v>
      </c>
      <c r="H66" s="272" t="s">
        <v>837</v>
      </c>
      <c r="I66" s="276"/>
      <c r="J66" s="276">
        <f ca="1">I65-J65</f>
        <v>1948.9607668718636</v>
      </c>
      <c r="K66" s="276"/>
      <c r="L66" s="276">
        <f ca="1">K65-L65</f>
        <v>883.16321809127294</v>
      </c>
      <c r="M66" s="276"/>
      <c r="N66" s="276">
        <f ca="1">M65-N65</f>
        <v>78.314091071231815</v>
      </c>
      <c r="O66" s="276"/>
      <c r="P66" s="276">
        <f ca="1">O65-P65</f>
        <v>3050.9427021561005</v>
      </c>
      <c r="Q66" s="276"/>
      <c r="R66" s="276">
        <f ca="1">Q65-R65</f>
        <v>0</v>
      </c>
      <c r="S66" s="276"/>
      <c r="T66" s="276">
        <f ca="1">S65-T65</f>
        <v>0</v>
      </c>
      <c r="U66" s="276"/>
      <c r="V66" s="276">
        <f ca="1">U65-V65</f>
        <v>0</v>
      </c>
      <c r="W66" s="276"/>
      <c r="X66" s="276">
        <f ca="1">W65-X65</f>
        <v>0</v>
      </c>
      <c r="Y66" s="276"/>
      <c r="Z66" s="276">
        <f ca="1">Y65-Z65</f>
        <v>0</v>
      </c>
      <c r="AA66" s="276"/>
      <c r="AB66" s="276">
        <f ca="1">AA65-AB65</f>
        <v>4694.8808396137501</v>
      </c>
      <c r="AC66" s="276"/>
      <c r="AD66" s="276">
        <f ca="1">AC65-AD65</f>
        <v>3765.0956023897088</v>
      </c>
      <c r="AE66" s="276"/>
      <c r="AF66" s="276">
        <f ca="1">AE65-AF65</f>
        <v>2925.3412291282584</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1164</v>
      </c>
      <c r="C67" s="278"/>
      <c r="D67" s="278">
        <f ca="1">IF(C65=0,0,D66/C65)</f>
        <v>0.1631211868291487</v>
      </c>
      <c r="E67" s="50"/>
      <c r="F67" s="50"/>
      <c r="G67" s="275" t="s">
        <v>868</v>
      </c>
      <c r="H67" s="277" t="s">
        <v>1164</v>
      </c>
      <c r="I67" s="278"/>
      <c r="J67" s="278">
        <f ca="1">IF(I65=0,0,J66/I65)</f>
        <v>9.9897834406368541E-2</v>
      </c>
      <c r="K67" s="278"/>
      <c r="L67" s="278">
        <f ca="1">IF(K65=0,0,L66/K65)</f>
        <v>5.1498240844868579E-2</v>
      </c>
      <c r="M67" s="278"/>
      <c r="N67" s="278">
        <f ca="1">IF(M65=0,0,N66/M65)</f>
        <v>4.8445493552249936E-3</v>
      </c>
      <c r="O67" s="278"/>
      <c r="P67" s="278">
        <f ca="1">IF(O65=0,0,P66/O65)</f>
        <v>0.26554641911004828</v>
      </c>
      <c r="Q67" s="278"/>
      <c r="R67" s="278">
        <f ca="1">IF(Q65=0,0,R66/Q65)</f>
        <v>0</v>
      </c>
      <c r="S67" s="278"/>
      <c r="T67" s="278">
        <f ca="1">IF(S65=0,0,T66/S65)</f>
        <v>0</v>
      </c>
      <c r="U67" s="278"/>
      <c r="V67" s="278">
        <f ca="1">IF(U65=0,0,V66/U65)</f>
        <v>0</v>
      </c>
      <c r="W67" s="278"/>
      <c r="X67" s="278">
        <f ca="1">IF(W65=0,0,X66/W65)</f>
        <v>0</v>
      </c>
      <c r="Y67" s="278"/>
      <c r="Z67" s="278">
        <f ca="1">IF(Y65=0,0,Z66/Y65)</f>
        <v>0</v>
      </c>
      <c r="AA67" s="278"/>
      <c r="AB67" s="278">
        <f ca="1">IF(AA65=0,0,AB66/AA65)</f>
        <v>0.35507230952592544</v>
      </c>
      <c r="AC67" s="278"/>
      <c r="AD67" s="278">
        <f ca="1">IF(AC65=0,0,AD66/AC65)</f>
        <v>0.25750611540763318</v>
      </c>
      <c r="AE67" s="278"/>
      <c r="AF67" s="278">
        <f ca="1">IF(AE65=0,0,AF66/AE65)</f>
        <v>0.16205567752992481</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1183</v>
      </c>
      <c r="B68" s="290" t="s">
        <v>837</v>
      </c>
      <c r="C68" s="291">
        <f ca="1">'Расчет базового уровня'!D68</f>
        <v>157312.98947806534</v>
      </c>
      <c r="D68" s="310">
        <f ca="1">IF(D71*(1-$D$158)&gt;C68,C68,D71*(1-$D$158))</f>
        <v>135538.11000000002</v>
      </c>
      <c r="E68" s="50"/>
      <c r="F68" s="50"/>
      <c r="G68" s="307" t="s">
        <v>1183</v>
      </c>
      <c r="H68" s="308" t="s">
        <v>837</v>
      </c>
      <c r="I68" s="291">
        <f ca="1">'Расчет базового уровня'!J68</f>
        <v>18886.348571059974</v>
      </c>
      <c r="J68" s="311">
        <f ca="1">MIN(I68,J71*(1-$D$158))</f>
        <v>18674.139600000002</v>
      </c>
      <c r="K68" s="291">
        <f ca="1">'Расчет базового уровня'!M68</f>
        <v>17533.255742138783</v>
      </c>
      <c r="L68" s="311">
        <f ca="1">MIN(K68,L71*(1-$D$158))</f>
        <v>16866.964800000002</v>
      </c>
      <c r="M68" s="291">
        <f ca="1">'Расчет базового уровня'!P68</f>
        <v>22751.702120725276</v>
      </c>
      <c r="N68" s="311">
        <f ca="1">MIN(M68,N71*(1-$D$158))</f>
        <v>18674.139600000002</v>
      </c>
      <c r="O68" s="291">
        <f ca="1">'Расчет базового уровня'!S68</f>
        <v>26347.95486615198</v>
      </c>
      <c r="P68" s="311">
        <f ca="1">MIN(O68,P71*(1-$D$158))</f>
        <v>18071.748</v>
      </c>
      <c r="Q68" s="291">
        <f ca="1">'Расчет базового уровня'!V68</f>
        <v>21456.204761002176</v>
      </c>
      <c r="R68" s="311">
        <f ca="1">MIN(Q68,R71*(1-$D$158))</f>
        <v>7831.0908000000009</v>
      </c>
      <c r="S68" s="291">
        <f ca="1">'Расчет базового уровня'!Y68</f>
        <v>0</v>
      </c>
      <c r="T68" s="311">
        <f ca="1">MIN(S68,T71*(1-$D$158))</f>
        <v>0</v>
      </c>
      <c r="U68" s="291">
        <f ca="1">'Расчет базового уровня'!AB68</f>
        <v>0</v>
      </c>
      <c r="V68" s="311">
        <f ca="1">MIN(U68,V71*(1-$D$158))</f>
        <v>0</v>
      </c>
      <c r="W68" s="291">
        <f ca="1">'Расчет базового уровня'!AE68</f>
        <v>0</v>
      </c>
      <c r="X68" s="311">
        <f ca="1">MIN(W68,X71*(1-$D$158))</f>
        <v>0</v>
      </c>
      <c r="Y68" s="291">
        <f ca="1">'Расчет базового уровня'!AH68</f>
        <v>21179.856337858932</v>
      </c>
      <c r="Z68" s="311">
        <f ca="1">MIN(Y68,Z71*(1-$D$158))</f>
        <v>7228.6992000000009</v>
      </c>
      <c r="AA68" s="291">
        <f ca="1">'Расчет базового уровня'!AK68</f>
        <v>27706.484224045744</v>
      </c>
      <c r="AB68" s="311">
        <f ca="1">MIN(AA68,AB71*(1-$D$158))</f>
        <v>18674.139600000002</v>
      </c>
      <c r="AC68" s="291">
        <f ca="1">'Расчет базового уровня'!AN68</f>
        <v>19540.737455366583</v>
      </c>
      <c r="AD68" s="311">
        <f ca="1">MIN(AC68,AD71*(1-$D$158))</f>
        <v>18071.748</v>
      </c>
      <c r="AE68" s="291">
        <f ca="1">'Расчет базового уровня'!AQ68</f>
        <v>19126.369221188816</v>
      </c>
      <c r="AF68" s="311">
        <f ca="1">MIN(AE68,AF71*(1-$D$158))</f>
        <v>18674.139600000002</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1302</v>
      </c>
      <c r="B69" s="272" t="s">
        <v>837</v>
      </c>
      <c r="C69" s="276"/>
      <c r="D69" s="276">
        <f ca="1">C68-D68</f>
        <v>21774.879478065326</v>
      </c>
      <c r="E69" s="50"/>
      <c r="F69" s="50"/>
      <c r="G69" s="275" t="s">
        <v>1302</v>
      </c>
      <c r="H69" s="272" t="s">
        <v>837</v>
      </c>
      <c r="I69" s="276"/>
      <c r="J69" s="276">
        <f ca="1">I68-J68</f>
        <v>212.2089710599721</v>
      </c>
      <c r="K69" s="276"/>
      <c r="L69" s="276">
        <f ca="1">K68-L68</f>
        <v>666.29094213878125</v>
      </c>
      <c r="M69" s="276"/>
      <c r="N69" s="276">
        <f ca="1">M68-N68</f>
        <v>4077.5625207252742</v>
      </c>
      <c r="O69" s="276"/>
      <c r="P69" s="276">
        <f ca="1">O68-P68</f>
        <v>8276.2068661519806</v>
      </c>
      <c r="Q69" s="276"/>
      <c r="R69" s="276">
        <f ca="1">Q68-R68</f>
        <v>13625.113961002175</v>
      </c>
      <c r="S69" s="276"/>
      <c r="T69" s="276">
        <f ca="1">S68-T68</f>
        <v>0</v>
      </c>
      <c r="U69" s="276"/>
      <c r="V69" s="276">
        <f ca="1">U68-V68</f>
        <v>0</v>
      </c>
      <c r="W69" s="276"/>
      <c r="X69" s="276">
        <f ca="1">W68-X68</f>
        <v>0</v>
      </c>
      <c r="Y69" s="276"/>
      <c r="Z69" s="276">
        <f ca="1">Y68-Z68</f>
        <v>13951.157137858931</v>
      </c>
      <c r="AA69" s="276"/>
      <c r="AB69" s="276">
        <f ca="1">AA68-AB68</f>
        <v>9032.3446240457415</v>
      </c>
      <c r="AC69" s="276"/>
      <c r="AD69" s="276">
        <f ca="1">AC68-AD68</f>
        <v>1468.9894553665836</v>
      </c>
      <c r="AE69" s="276"/>
      <c r="AF69" s="276">
        <f ca="1">AE68-AF68</f>
        <v>452.22962118881333</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1164</v>
      </c>
      <c r="C70" s="278"/>
      <c r="D70" s="278">
        <f ca="1">IF(C68=0,0,D69/C68)</f>
        <v>0.1384175556660022</v>
      </c>
      <c r="E70" s="50"/>
      <c r="F70" s="50"/>
      <c r="G70" s="275" t="s">
        <v>868</v>
      </c>
      <c r="H70" s="277" t="s">
        <v>1164</v>
      </c>
      <c r="I70" s="278"/>
      <c r="J70" s="278">
        <f ca="1">IF(I68=0,0,J69/I68)</f>
        <v>1.1236103700063295E-2</v>
      </c>
      <c r="K70" s="278"/>
      <c r="L70" s="278">
        <f ca="1">IF(K68=0,0,L69/K68)</f>
        <v>3.8001552702926822E-2</v>
      </c>
      <c r="M70" s="278"/>
      <c r="N70" s="278">
        <f ca="1">IF(M68=0,0,N69/M68)</f>
        <v>0.17922010841601552</v>
      </c>
      <c r="O70" s="278"/>
      <c r="P70" s="278">
        <f ca="1">IF(O68=0,0,P69/O68)</f>
        <v>0.31411192664460069</v>
      </c>
      <c r="Q70" s="278"/>
      <c r="R70" s="278">
        <f ca="1">IF(Q68=0,0,R69/Q68)</f>
        <v>0.63501975828300083</v>
      </c>
      <c r="S70" s="278"/>
      <c r="T70" s="278">
        <f ca="1">IF(S68=0,0,T69/S68)</f>
        <v>0</v>
      </c>
      <c r="U70" s="278"/>
      <c r="V70" s="278">
        <f ca="1">IF(U68=0,0,V69/U68)</f>
        <v>0</v>
      </c>
      <c r="W70" s="278"/>
      <c r="X70" s="278">
        <f ca="1">IF(W68=0,0,X69/W68)</f>
        <v>0</v>
      </c>
      <c r="Y70" s="278"/>
      <c r="Z70" s="278">
        <f ca="1">IF(Y68=0,0,Z69/Y68)</f>
        <v>0.65869932804602072</v>
      </c>
      <c r="AA70" s="278"/>
      <c r="AB70" s="278">
        <f ca="1">IF(AA68=0,0,AB69/AA68)</f>
        <v>0.32600111046232283</v>
      </c>
      <c r="AC70" s="278"/>
      <c r="AD70" s="278">
        <f ca="1">IF(AC68=0,0,AD69/AC68)</f>
        <v>7.5175742917683322E-2</v>
      </c>
      <c r="AE70" s="278"/>
      <c r="AF70" s="278">
        <f ca="1">IF(AE68=0,0,AF69/AE68)</f>
        <v>2.364430049210901E-2</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1185</v>
      </c>
      <c r="B71" s="313" t="s">
        <v>837</v>
      </c>
      <c r="C71" s="291">
        <f>'Расчет базового уровня'!D71</f>
        <v>271076.22000000003</v>
      </c>
      <c r="D71" s="314">
        <f>C71</f>
        <v>271076.22000000003</v>
      </c>
      <c r="E71" s="50"/>
      <c r="F71" s="50"/>
      <c r="G71" s="306" t="s">
        <v>1185</v>
      </c>
      <c r="H71" s="308" t="s">
        <v>837</v>
      </c>
      <c r="I71" s="291">
        <f ca="1">'Расчет базового уровня'!J71</f>
        <v>37348.279200000004</v>
      </c>
      <c r="J71" s="315">
        <f ca="1">I71</f>
        <v>37348.279200000004</v>
      </c>
      <c r="K71" s="291">
        <f ca="1">'Расчет базового уровня'!M71</f>
        <v>33733.929600000003</v>
      </c>
      <c r="L71" s="315">
        <f ca="1">K71</f>
        <v>33733.929600000003</v>
      </c>
      <c r="M71" s="291">
        <f ca="1">'Расчет базового уровня'!P71</f>
        <v>37348.279200000004</v>
      </c>
      <c r="N71" s="315">
        <f ca="1">M71</f>
        <v>37348.279200000004</v>
      </c>
      <c r="O71" s="291">
        <f ca="1">'Расчет базового уровня'!S71</f>
        <v>36143.495999999999</v>
      </c>
      <c r="P71" s="316">
        <f ca="1">O71</f>
        <v>36143.495999999999</v>
      </c>
      <c r="Q71" s="291">
        <f ca="1">'Расчет базового уровня'!V71</f>
        <v>15662.181600000002</v>
      </c>
      <c r="R71" s="303">
        <f ca="1">Q71</f>
        <v>15662.181600000002</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 ca="1">'Расчет базового уровня'!AH71</f>
        <v>14457.398400000002</v>
      </c>
      <c r="Z71" s="317">
        <f ca="1">Y71</f>
        <v>14457.398400000002</v>
      </c>
      <c r="AA71" s="291">
        <f ca="1">'Расчет базового уровня'!AK71</f>
        <v>37348.279200000004</v>
      </c>
      <c r="AB71" s="315">
        <f ca="1">AA71</f>
        <v>37348.279200000004</v>
      </c>
      <c r="AC71" s="291">
        <f ca="1">'Расчет базового уровня'!AN71</f>
        <v>36143.495999999999</v>
      </c>
      <c r="AD71" s="315">
        <f ca="1">AC71</f>
        <v>36143.495999999999</v>
      </c>
      <c r="AE71" s="291">
        <f ca="1">'Расчет базового уровня'!AQ71</f>
        <v>37348.279200000004</v>
      </c>
      <c r="AF71" s="319">
        <f ca="1">AE71</f>
        <v>37348.279200000004</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1167</v>
      </c>
      <c r="C72" s="322">
        <f>0.86*C71/1000</f>
        <v>233.12554919999999</v>
      </c>
      <c r="D72" s="323">
        <f>C72</f>
        <v>233.12554919999999</v>
      </c>
      <c r="E72" s="50"/>
      <c r="F72" s="50"/>
      <c r="G72" s="324" t="s">
        <v>868</v>
      </c>
      <c r="H72" s="325" t="s">
        <v>1167</v>
      </c>
      <c r="I72" s="326"/>
      <c r="J72" s="327">
        <f ca="1">0.86*J71/1000</f>
        <v>32.119520112000004</v>
      </c>
      <c r="K72" s="326"/>
      <c r="L72" s="327">
        <f ca="1">0.86*L71/1000</f>
        <v>29.011179456000001</v>
      </c>
      <c r="M72" s="326"/>
      <c r="N72" s="328">
        <f ca="1">0.86*N71/1000</f>
        <v>32.119520112000004</v>
      </c>
      <c r="O72" s="326"/>
      <c r="P72" s="329">
        <f ca="1">0.86*P71/1000</f>
        <v>31.08340656</v>
      </c>
      <c r="Q72" s="326"/>
      <c r="R72" s="330">
        <f ca="1">0.86*R71/1000</f>
        <v>13.469476176000002</v>
      </c>
      <c r="S72" s="326"/>
      <c r="T72" s="331">
        <f>0.86*T71/1000</f>
        <v>0</v>
      </c>
      <c r="U72" s="326"/>
      <c r="V72" s="329">
        <f>0.86*V71/1000</f>
        <v>0</v>
      </c>
      <c r="W72" s="326"/>
      <c r="X72" s="332">
        <f>0.86*X71/1000</f>
        <v>0</v>
      </c>
      <c r="Y72" s="326"/>
      <c r="Z72" s="332">
        <f ca="1">0.86*Z71/1000</f>
        <v>12.433362624000001</v>
      </c>
      <c r="AA72" s="326"/>
      <c r="AB72" s="331">
        <f ca="1">0.86*AB71/1000</f>
        <v>32.119520112000004</v>
      </c>
      <c r="AC72" s="326"/>
      <c r="AD72" s="331">
        <f ca="1">0.86*AD71/1000</f>
        <v>31.08340656</v>
      </c>
      <c r="AE72" s="326"/>
      <c r="AF72" s="333">
        <f ca="1">0.86*AF71/1000</f>
        <v>32.119520112000004</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1191</v>
      </c>
      <c r="B76" s="313" t="s">
        <v>1173</v>
      </c>
      <c r="C76" s="291">
        <f ca="1">'Расчет базового уровня'!D76</f>
        <v>235.02416061786317</v>
      </c>
      <c r="D76" s="355">
        <f ca="1">D35/('Ввод исходных данных'!$G$56+'Ввод исходных данных'!$D$23)</f>
        <v>188.62135364562855</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1192</v>
      </c>
      <c r="C77" s="360">
        <f ca="1">C76*0.86/1000</f>
        <v>0.20212077813136234</v>
      </c>
      <c r="D77" s="361">
        <f ca="1">D76*0.86/1000</f>
        <v>0.16221436413524054</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533677.9941315914</v>
      </c>
      <c r="B80" s="370">
        <f ca="1">D62</f>
        <v>356145.22458864417</v>
      </c>
      <c r="C80" s="370">
        <f ca="1">D65</f>
        <v>98057.064133630556</v>
      </c>
      <c r="D80" s="371">
        <f ca="1">D68</f>
        <v>135538.11000000002</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94" t="s">
        <v>1193</v>
      </c>
      <c r="B82" s="2494"/>
      <c r="C82" s="2494"/>
      <c r="D82" s="2494"/>
      <c r="E82" s="372"/>
      <c r="F82" s="372"/>
      <c r="G82" s="373" t="s">
        <v>1194</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505" t="s">
        <v>829</v>
      </c>
      <c r="B83" s="2507" t="s">
        <v>1157</v>
      </c>
      <c r="C83" s="2511" t="s">
        <v>1301</v>
      </c>
      <c r="D83" s="2509" t="s">
        <v>1357</v>
      </c>
      <c r="E83" s="50"/>
      <c r="F83" s="50"/>
      <c r="G83" s="2517" t="s">
        <v>829</v>
      </c>
      <c r="H83" s="2508" t="s">
        <v>1157</v>
      </c>
      <c r="I83" s="2518" t="s">
        <v>488</v>
      </c>
      <c r="J83" s="2519"/>
      <c r="K83" s="2518" t="s">
        <v>489</v>
      </c>
      <c r="L83" s="2519"/>
      <c r="M83" s="2518" t="s">
        <v>490</v>
      </c>
      <c r="N83" s="2519"/>
      <c r="O83" s="2518" t="s">
        <v>491</v>
      </c>
      <c r="P83" s="2519"/>
      <c r="Q83" s="2518" t="s">
        <v>800</v>
      </c>
      <c r="R83" s="2519"/>
      <c r="S83" s="2518" t="s">
        <v>801</v>
      </c>
      <c r="T83" s="2519"/>
      <c r="U83" s="2518" t="s">
        <v>802</v>
      </c>
      <c r="V83" s="2519"/>
      <c r="W83" s="2518" t="s">
        <v>803</v>
      </c>
      <c r="X83" s="2519"/>
      <c r="Y83" s="2518" t="s">
        <v>804</v>
      </c>
      <c r="Z83" s="2519"/>
      <c r="AA83" s="2518" t="s">
        <v>482</v>
      </c>
      <c r="AB83" s="2519"/>
      <c r="AC83" s="2518" t="s">
        <v>486</v>
      </c>
      <c r="AD83" s="2519"/>
      <c r="AE83" s="2518" t="s">
        <v>487</v>
      </c>
      <c r="AF83" s="2519"/>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506"/>
      <c r="B84" s="2508"/>
      <c r="C84" s="2502"/>
      <c r="D84" s="2510"/>
      <c r="E84" s="50"/>
      <c r="F84" s="50"/>
      <c r="G84" s="2517"/>
      <c r="H84" s="2508"/>
      <c r="I84" s="375" t="s">
        <v>1301</v>
      </c>
      <c r="J84" s="376" t="s">
        <v>1357</v>
      </c>
      <c r="K84" s="375" t="s">
        <v>1301</v>
      </c>
      <c r="L84" s="376" t="s">
        <v>1357</v>
      </c>
      <c r="M84" s="375" t="s">
        <v>1301</v>
      </c>
      <c r="N84" s="376" t="s">
        <v>1357</v>
      </c>
      <c r="O84" s="375" t="s">
        <v>1301</v>
      </c>
      <c r="P84" s="376" t="s">
        <v>1357</v>
      </c>
      <c r="Q84" s="375" t="s">
        <v>1301</v>
      </c>
      <c r="R84" s="376" t="s">
        <v>1357</v>
      </c>
      <c r="S84" s="375" t="s">
        <v>1301</v>
      </c>
      <c r="T84" s="376" t="s">
        <v>1357</v>
      </c>
      <c r="U84" s="375" t="s">
        <v>1301</v>
      </c>
      <c r="V84" s="376" t="s">
        <v>1357</v>
      </c>
      <c r="W84" s="375" t="s">
        <v>1301</v>
      </c>
      <c r="X84" s="376" t="s">
        <v>1357</v>
      </c>
      <c r="Y84" s="375" t="s">
        <v>1301</v>
      </c>
      <c r="Z84" s="376" t="s">
        <v>1357</v>
      </c>
      <c r="AA84" s="375" t="s">
        <v>1301</v>
      </c>
      <c r="AB84" s="376" t="s">
        <v>1357</v>
      </c>
      <c r="AC84" s="375" t="s">
        <v>1301</v>
      </c>
      <c r="AD84" s="376" t="s">
        <v>1357</v>
      </c>
      <c r="AE84" s="375" t="s">
        <v>1301</v>
      </c>
      <c r="AF84" s="376" t="s">
        <v>1357</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1195</v>
      </c>
      <c r="B85" s="378" t="s">
        <v>837</v>
      </c>
      <c r="C85" s="379">
        <f ca="1">'Расчет базового уровня'!D85</f>
        <v>494927.44299999997</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494927.44300000003</v>
      </c>
      <c r="E85" s="285"/>
      <c r="F85" s="381"/>
      <c r="G85" s="382" t="s">
        <v>1196</v>
      </c>
      <c r="H85" s="378" t="s">
        <v>837</v>
      </c>
      <c r="I85" s="383">
        <f ca="1">'Расчет базового уровня'!J85</f>
        <v>45322.11</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45322.11</v>
      </c>
      <c r="K85" s="383">
        <f ca="1">'Расчет базового уровня'!L85</f>
        <v>40913.177000000003</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40913.177000000003</v>
      </c>
      <c r="M85" s="383">
        <f ca="1">'Расчет базового уровня'!N85</f>
        <v>45213.951000000001</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45213.951000000001</v>
      </c>
      <c r="O85" s="383">
        <f ca="1">'Расчет базового уровня'!P85</f>
        <v>42619.298000000003</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42619.298000000003</v>
      </c>
      <c r="Q85" s="383">
        <f ca="1">'Расчет базового уровня'!R85</f>
        <v>43588.076999999997</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43588.076999999997</v>
      </c>
      <c r="S85" s="383">
        <f ca="1">'Расчет базового уровня'!T85</f>
        <v>38619.741000000002</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38619.741000000002</v>
      </c>
      <c r="U85" s="383">
        <f ca="1">'Расчет базового уровня'!V85</f>
        <v>21318.952999999998</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21318.952999999998</v>
      </c>
      <c r="W85" s="383">
        <f ca="1">'Расчет базового уровня'!X85</f>
        <v>36205.353000000003</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36205.353000000003</v>
      </c>
      <c r="Y85" s="383">
        <f ca="1">'Расчет базового уровня'!Z85</f>
        <v>39297.769999999997</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39297.769999999997</v>
      </c>
      <c r="AA85" s="383">
        <f ca="1">'Расчет базового уровня'!AB85</f>
        <v>46221.109000000004</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46221.109000000004</v>
      </c>
      <c r="AC85" s="383">
        <f ca="1">'Расчет базового уровня'!AD85</f>
        <v>47849.309000000001</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47849.309000000001</v>
      </c>
      <c r="AE85" s="383">
        <f ca="1">'Расчет базового уровня'!AF85</f>
        <v>47758.594999999994</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47758.594999999994</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1302</v>
      </c>
      <c r="B86" s="378" t="s">
        <v>837</v>
      </c>
      <c r="C86" s="276"/>
      <c r="D86" s="276">
        <f ca="1">C85-D85</f>
        <v>0</v>
      </c>
      <c r="E86" s="50">
        <f ca="1">D90*1.163*(списки!C59-E175)*(1+IF('Список мероприятий'!$AB$40=1,D176,'Расчет базового уровня'!$D$178))+'Ввод исходных данных'!$E$248*1.163*списки!$C$63</f>
        <v>241152.6544227273</v>
      </c>
      <c r="F86" s="285"/>
      <c r="G86" s="385" t="s">
        <v>1302</v>
      </c>
      <c r="H86" s="378" t="s">
        <v>837</v>
      </c>
      <c r="I86" s="386"/>
      <c r="J86" s="386">
        <f ca="1">I85-J85</f>
        <v>0</v>
      </c>
      <c r="K86" s="386"/>
      <c r="L86" s="386">
        <f ca="1">K85-L85</f>
        <v>0</v>
      </c>
      <c r="M86" s="386"/>
      <c r="N86" s="386">
        <f ca="1">M85-N85</f>
        <v>0</v>
      </c>
      <c r="O86" s="386"/>
      <c r="P86" s="386">
        <f ca="1">O85-P85</f>
        <v>0</v>
      </c>
      <c r="Q86" s="386"/>
      <c r="R86" s="386">
        <f ca="1">Q85-R85</f>
        <v>0</v>
      </c>
      <c r="S86" s="386"/>
      <c r="T86" s="386">
        <f ca="1">S85-T85</f>
        <v>0</v>
      </c>
      <c r="U86" s="386"/>
      <c r="V86" s="386">
        <f ca="1">U85-V85</f>
        <v>0</v>
      </c>
      <c r="W86" s="386"/>
      <c r="X86" s="386">
        <f ca="1">W85-X85</f>
        <v>0</v>
      </c>
      <c r="Y86" s="386"/>
      <c r="Z86" s="386">
        <f ca="1">Y85-Z85</f>
        <v>0</v>
      </c>
      <c r="AA86" s="386"/>
      <c r="AB86" s="386">
        <f ca="1">AA85-AB85</f>
        <v>0</v>
      </c>
      <c r="AC86" s="386"/>
      <c r="AD86" s="386">
        <f ca="1">AC85-AD85</f>
        <v>0</v>
      </c>
      <c r="AE86" s="386"/>
      <c r="AF86" s="386">
        <f ca="1">AE85-AF85</f>
        <v>0</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1164</v>
      </c>
      <c r="C87" s="278"/>
      <c r="D87" s="278">
        <f ca="1">IF(C85=0,0,D86/C85)</f>
        <v>0</v>
      </c>
      <c r="E87" s="285">
        <f ca="1">C85*D90/C90*(1+IF('Список мероприятий'!$AB$40=1,D176,'Расчет базового уровня'!$D$178))/(1+'Расчет базового уровня'!$D$178)+D180/0.86*1000</f>
        <v>494927.44300000003</v>
      </c>
      <c r="F87" s="50"/>
      <c r="G87" s="385" t="s">
        <v>868</v>
      </c>
      <c r="H87" s="378" t="s">
        <v>1164</v>
      </c>
      <c r="I87" s="387"/>
      <c r="J87" s="387">
        <f ca="1">IF(I85=0,0,J86/I85)</f>
        <v>0</v>
      </c>
      <c r="K87" s="387"/>
      <c r="L87" s="387">
        <f ca="1">IF(K85=0,0,L86/K85)</f>
        <v>0</v>
      </c>
      <c r="M87" s="387"/>
      <c r="N87" s="387">
        <f ca="1">IF(M85=0,0,N86/M85)</f>
        <v>0</v>
      </c>
      <c r="O87" s="387"/>
      <c r="P87" s="387">
        <f ca="1">IF(O85=0,0,P86/O85)</f>
        <v>0</v>
      </c>
      <c r="Q87" s="387"/>
      <c r="R87" s="387">
        <f ca="1">IF(Q85=0,0,R86/Q85)</f>
        <v>0</v>
      </c>
      <c r="S87" s="387"/>
      <c r="T87" s="387">
        <f ca="1">IF(S85=0,0,T86/S85)</f>
        <v>0</v>
      </c>
      <c r="U87" s="387"/>
      <c r="V87" s="387">
        <f ca="1">IF(U85=0,0,V86/U85)</f>
        <v>0</v>
      </c>
      <c r="W87" s="387"/>
      <c r="X87" s="387">
        <f ca="1">IF(W85=0,0,X86/W85)</f>
        <v>0</v>
      </c>
      <c r="Y87" s="387"/>
      <c r="Z87" s="387">
        <f ca="1">IF(Y85=0,0,Z86/Y85)</f>
        <v>0</v>
      </c>
      <c r="AA87" s="387"/>
      <c r="AB87" s="387">
        <f ca="1">IF(AA85=0,0,AB86/AA85)</f>
        <v>0</v>
      </c>
      <c r="AC87" s="387"/>
      <c r="AD87" s="387">
        <f ca="1">IF(AC85=0,0,AD86/AC85)</f>
        <v>0</v>
      </c>
      <c r="AE87" s="387"/>
      <c r="AF87" s="387">
        <f ca="1">IF(AE85=0,0,AF86/AE85)</f>
        <v>0</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1199</v>
      </c>
      <c r="B90" s="378" t="s">
        <v>1200</v>
      </c>
      <c r="C90" s="379">
        <f>'Расчет базового уровня'!D90</f>
        <v>3083.2000000000003</v>
      </c>
      <c r="D90" s="236">
        <f>C90*IF(AND('Система ГВС'!$F$17=0,'Список мероприятий'!$AB$41=1),0.9,1)</f>
        <v>3083.2000000000003</v>
      </c>
      <c r="E90" s="50"/>
      <c r="F90" s="50"/>
      <c r="G90" s="393" t="s">
        <v>1202</v>
      </c>
      <c r="H90" s="378" t="s">
        <v>1200</v>
      </c>
      <c r="I90" s="383">
        <f>'Расчет базового уровня'!J90</f>
        <v>278.10000000000002</v>
      </c>
      <c r="J90" s="236">
        <f>I90*IF(AND('Система ГВС'!$F$17=0,'Список мероприятий'!$AB$41=1),0.9,1)</f>
        <v>278.10000000000002</v>
      </c>
      <c r="K90" s="383">
        <f>'Расчет базового уровня'!L90</f>
        <v>250.9</v>
      </c>
      <c r="L90" s="236">
        <f>K90*IF(AND('Система ГВС'!$F$17=0,'Список мероприятий'!$AB$41=1),0.9,1)</f>
        <v>250.9</v>
      </c>
      <c r="M90" s="383">
        <f>'Расчет базового уровня'!N90</f>
        <v>276.8</v>
      </c>
      <c r="N90" s="236">
        <f>M90*IF(AND('Система ГВС'!$F$17=0,'Список мероприятий'!$AB$41=1),0.9,1)</f>
        <v>276.8</v>
      </c>
      <c r="O90" s="383">
        <f>'Расчет базового уровня'!P90</f>
        <v>254.2</v>
      </c>
      <c r="P90" s="236">
        <f>O90*IF(AND('Система ГВС'!$F$17=0,'Список мероприятий'!$AB$41=1),0.9,1)</f>
        <v>254.2</v>
      </c>
      <c r="Q90" s="383">
        <f>'Расчет базового уровня'!R90</f>
        <v>287.60000000000002</v>
      </c>
      <c r="R90" s="236">
        <f>Q90*IF(AND('Система ГВС'!$F$17=0,'Список мероприятий'!$AB$41=1),0.9,1)</f>
        <v>287.60000000000002</v>
      </c>
      <c r="S90" s="383">
        <f>'Расчет базового уровня'!T90</f>
        <v>251.9</v>
      </c>
      <c r="T90" s="236">
        <f>S90*IF(AND('Система ГВС'!$F$17=0,'Список мероприятий'!$AB$41=1),0.9,1)</f>
        <v>251.9</v>
      </c>
      <c r="U90" s="383">
        <f>'Расчет базового уровня'!V90</f>
        <v>123.9</v>
      </c>
      <c r="V90" s="236">
        <f>U90*IF(AND('Система ГВС'!$F$17=0,'Список мероприятий'!$AB$41=1),0.9,1)</f>
        <v>123.9</v>
      </c>
      <c r="W90" s="383">
        <f>'Расчет базового уровня'!X90</f>
        <v>205.9</v>
      </c>
      <c r="X90" s="236">
        <f>W90*IF(AND('Система ГВС'!$F$17=0,'Список мероприятий'!$AB$41=1),0.9,1)</f>
        <v>205.9</v>
      </c>
      <c r="Y90" s="383">
        <f>'Расчет базового уровня'!Z90</f>
        <v>240.5</v>
      </c>
      <c r="Z90" s="236">
        <f>Y90*IF(AND('Система ГВС'!$F$17=0,'Список мероприятий'!$AB$41=1),0.9,1)</f>
        <v>240.5</v>
      </c>
      <c r="AA90" s="383">
        <f>'Расчет базового уровня'!AB90</f>
        <v>288.89999999999998</v>
      </c>
      <c r="AB90" s="236">
        <f>AA90*IF(AND('Система ГВС'!$F$17=0,'Список мероприятий'!$AB$41=1),0.9,1)</f>
        <v>288.89999999999998</v>
      </c>
      <c r="AC90" s="383">
        <f>'Расчет базового уровня'!AD90</f>
        <v>317.10000000000002</v>
      </c>
      <c r="AD90" s="236">
        <f>AC90*IF(AND('Система ГВС'!$F$17=0,'Список мероприятий'!$AB$41=1),0.9,1)</f>
        <v>317.10000000000002</v>
      </c>
      <c r="AE90" s="383">
        <f>'Расчет базового уровня'!AF90</f>
        <v>307.39999999999998</v>
      </c>
      <c r="AF90" s="236">
        <f>AE90*IF(AND('Система ГВС'!$F$17=0,'Список мероприятий'!$AB$41=1),0.9,1)</f>
        <v>307.39999999999998</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1302</v>
      </c>
      <c r="B91" s="378"/>
      <c r="C91" s="276"/>
      <c r="D91" s="276">
        <f>C90-D90</f>
        <v>0</v>
      </c>
      <c r="E91" s="50"/>
      <c r="F91" s="50"/>
      <c r="G91" s="385" t="s">
        <v>1302</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1164</v>
      </c>
      <c r="C92" s="278"/>
      <c r="D92" s="278">
        <f>IF(C90=0,0,D91/C90)</f>
        <v>0</v>
      </c>
      <c r="E92" s="50"/>
      <c r="F92" s="50"/>
      <c r="G92" s="385" t="s">
        <v>868</v>
      </c>
      <c r="H92" s="378" t="s">
        <v>1164</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1204</v>
      </c>
      <c r="B93" s="277" t="s">
        <v>1173</v>
      </c>
      <c r="C93" s="379">
        <f ca="1">'Расчет базового уровня'!D93</f>
        <v>109.52629968133131</v>
      </c>
      <c r="D93" s="395">
        <f ca="1">D85/('Ввод исходных данных'!$G$56+'Ввод исходных данных'!$D$23)</f>
        <v>109.52629968133132</v>
      </c>
      <c r="E93" s="50"/>
      <c r="F93" s="50"/>
      <c r="G93" s="50"/>
      <c r="H93" s="50"/>
      <c r="I93" s="50">
        <f ca="1">IF(G148&gt;14,1,0)</f>
        <v>1</v>
      </c>
      <c r="J93" s="50"/>
      <c r="K93" s="50">
        <f ca="1">IF(H148&gt;14,1,0)</f>
        <v>1</v>
      </c>
      <c r="L93" s="50"/>
      <c r="M93" s="50">
        <f ca="1">IF(I148&gt;14,1,0)</f>
        <v>1</v>
      </c>
      <c r="O93" s="50">
        <f ca="1">IF(J148&gt;14,1,0)</f>
        <v>1</v>
      </c>
      <c r="Q93" s="50">
        <f ca="1">IF(K148&gt;14,1,0)</f>
        <v>0</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1192</v>
      </c>
      <c r="C94" s="397"/>
      <c r="D94" s="398">
        <f ca="1">D86/('Ввод исходных данных'!$G$56+'Ввод исходных данных'!$D$23)</f>
        <v>0</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1205</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89" t="s">
        <v>1169</v>
      </c>
      <c r="B97" s="2489"/>
      <c r="C97" s="2489"/>
      <c r="D97" s="2489"/>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512" t="s">
        <v>829</v>
      </c>
      <c r="B98" s="2507" t="s">
        <v>1157</v>
      </c>
      <c r="C98" s="2516" t="s">
        <v>1301</v>
      </c>
      <c r="D98" s="2514" t="s">
        <v>1357</v>
      </c>
      <c r="E98" s="50"/>
      <c r="F98" s="50"/>
      <c r="G98" s="2512" t="s">
        <v>829</v>
      </c>
      <c r="H98" s="2507" t="s">
        <v>1157</v>
      </c>
      <c r="I98" s="2507" t="s">
        <v>488</v>
      </c>
      <c r="J98" s="2507"/>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513"/>
      <c r="B99" s="2508"/>
      <c r="C99" s="2517"/>
      <c r="D99" s="2515"/>
      <c r="E99" s="50"/>
      <c r="F99" s="50"/>
      <c r="G99" s="2513"/>
      <c r="H99" s="2508"/>
      <c r="I99" s="375" t="s">
        <v>1301</v>
      </c>
      <c r="J99" s="376" t="s">
        <v>1357</v>
      </c>
      <c r="K99" s="375" t="s">
        <v>1301</v>
      </c>
      <c r="L99" s="376" t="s">
        <v>1357</v>
      </c>
      <c r="M99" s="375" t="s">
        <v>1301</v>
      </c>
      <c r="N99" s="376" t="s">
        <v>1357</v>
      </c>
      <c r="O99" s="375" t="s">
        <v>1301</v>
      </c>
      <c r="P99" s="376" t="s">
        <v>1357</v>
      </c>
      <c r="Q99" s="375" t="s">
        <v>1301</v>
      </c>
      <c r="R99" s="376" t="s">
        <v>1357</v>
      </c>
      <c r="S99" s="375" t="s">
        <v>1301</v>
      </c>
      <c r="T99" s="376" t="s">
        <v>1357</v>
      </c>
      <c r="U99" s="375" t="s">
        <v>1301</v>
      </c>
      <c r="V99" s="376" t="s">
        <v>1357</v>
      </c>
      <c r="W99" s="375" t="s">
        <v>1301</v>
      </c>
      <c r="X99" s="376" t="s">
        <v>1357</v>
      </c>
      <c r="Y99" s="375" t="s">
        <v>1301</v>
      </c>
      <c r="Z99" s="376" t="s">
        <v>1357</v>
      </c>
      <c r="AA99" s="375" t="s">
        <v>1301</v>
      </c>
      <c r="AB99" s="376" t="s">
        <v>1357</v>
      </c>
      <c r="AC99" s="375" t="s">
        <v>1301</v>
      </c>
      <c r="AD99" s="376" t="s">
        <v>1357</v>
      </c>
      <c r="AE99" s="375" t="s">
        <v>1301</v>
      </c>
      <c r="AF99" s="376" t="s">
        <v>1357</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1207</v>
      </c>
      <c r="B100" s="378" t="s">
        <v>837</v>
      </c>
      <c r="C100" s="386">
        <f>'Расчет базового уровня'!D100</f>
        <v>22856</v>
      </c>
      <c r="D100" s="409">
        <f ca="1">D102+D106+D108+D113</f>
        <v>23991.528511100008</v>
      </c>
      <c r="E100" s="285"/>
      <c r="F100" s="50"/>
      <c r="G100" s="408" t="s">
        <v>1208</v>
      </c>
      <c r="H100" s="378" t="s">
        <v>837</v>
      </c>
      <c r="I100" s="386">
        <f>'Расчет базового уровня'!J100</f>
        <v>2953</v>
      </c>
      <c r="J100" s="410">
        <f ca="1">J102+J106+J108+J113</f>
        <v>2108.0231329521639</v>
      </c>
      <c r="K100" s="386">
        <f>'Расчет базового уровня'!L100</f>
        <v>3449</v>
      </c>
      <c r="L100" s="410">
        <f ca="1">L102+L106+L108+L113</f>
        <v>2093.0341245934264</v>
      </c>
      <c r="M100" s="386">
        <f>'Расчет базового уровня'!N100</f>
        <v>1</v>
      </c>
      <c r="N100" s="410">
        <f ca="1">N102+N106+N108+N113</f>
        <v>2090.9596981872692</v>
      </c>
      <c r="O100" s="386">
        <f>'Расчет базового уровня'!P100</f>
        <v>3789.9999999999995</v>
      </c>
      <c r="P100" s="410">
        <f ca="1">P102+P106+P108+P113</f>
        <v>2002.3852386306617</v>
      </c>
      <c r="Q100" s="386">
        <f>'Расчет базового уровня'!R100</f>
        <v>601</v>
      </c>
      <c r="R100" s="410">
        <f ca="1">R102+R106+R108+R113</f>
        <v>1928.1654804671423</v>
      </c>
      <c r="S100" s="386">
        <f>'Расчет базового уровня'!T100</f>
        <v>1683</v>
      </c>
      <c r="T100" s="410">
        <f ca="1">T102+T106+T108+T113</f>
        <v>1904.6666666666667</v>
      </c>
      <c r="U100" s="386">
        <f>'Расчет базового уровня'!V100</f>
        <v>1963</v>
      </c>
      <c r="V100" s="411">
        <f ca="1">V102+V106+V108+V113</f>
        <v>1904.6666666666667</v>
      </c>
      <c r="W100" s="386">
        <f>'Расчет базового уровня'!X100</f>
        <v>1598.9999999999998</v>
      </c>
      <c r="X100" s="410">
        <f ca="1">X102+X106+X108+X113</f>
        <v>1904.6666666666667</v>
      </c>
      <c r="Y100" s="386">
        <f>'Расчет базового уровня'!Z100</f>
        <v>1466.0000000000002</v>
      </c>
      <c r="Z100" s="410">
        <f ca="1">Z102+Z106+Z108+Z113</f>
        <v>1927.3709956900454</v>
      </c>
      <c r="AA100" s="386">
        <f>'Расчет базового уровня'!AB100</f>
        <v>2297</v>
      </c>
      <c r="AB100" s="412">
        <f ca="1">AB102+AB106+AB108+AB113</f>
        <v>2003.4168589586782</v>
      </c>
      <c r="AC100" s="386">
        <f>'Расчет базового уровня'!AD100</f>
        <v>2929.0000000000005</v>
      </c>
      <c r="AD100" s="386">
        <f ca="1">AD102+AD106+AD108+AD113</f>
        <v>2030.385545327614</v>
      </c>
      <c r="AE100" s="386">
        <f>'Расчет базового уровня'!AF100</f>
        <v>125</v>
      </c>
      <c r="AF100" s="413">
        <f ca="1">AF102+AF106+AF108+AF113</f>
        <v>2079.8313711666856</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1303</v>
      </c>
      <c r="B101" s="378" t="s">
        <v>1164</v>
      </c>
      <c r="C101" s="390"/>
      <c r="D101" s="415">
        <f ca="1">IF(C100=0,0,D100/C100-1)</f>
        <v>4.9681856453448026E-2</v>
      </c>
      <c r="E101" s="50"/>
      <c r="F101" s="50"/>
      <c r="G101" s="414" t="s">
        <v>1303</v>
      </c>
      <c r="H101" s="378" t="s">
        <v>1164</v>
      </c>
      <c r="I101" s="390"/>
      <c r="J101" s="387">
        <f ca="1">IF(I100=0,0,J100/I100-1)</f>
        <v>-0.28614184458104841</v>
      </c>
      <c r="K101" s="390"/>
      <c r="L101" s="387">
        <f ca="1">IF(K100=0,0,L100/K100-1)</f>
        <v>-0.39314754288390075</v>
      </c>
      <c r="M101" s="390"/>
      <c r="N101" s="387">
        <f ca="1">IF(M100=0,0,N100/M100-1)</f>
        <v>2089.9596981872692</v>
      </c>
      <c r="O101" s="390"/>
      <c r="P101" s="387">
        <f ca="1">IF(O100=0,0,P100/O100-1)</f>
        <v>-0.47166616394969341</v>
      </c>
      <c r="Q101" s="390"/>
      <c r="R101" s="387">
        <f ca="1">IF(Q100=0,0,R100/Q100-1)</f>
        <v>2.2082620307273584</v>
      </c>
      <c r="S101" s="390"/>
      <c r="T101" s="387">
        <f ca="1">IF(S100=0,0,T100/S100-1)</f>
        <v>0.13170924935630812</v>
      </c>
      <c r="U101" s="390"/>
      <c r="V101" s="387">
        <f ca="1">IF(U100=0,0,V100/U100-1)</f>
        <v>-2.9716420444897196E-2</v>
      </c>
      <c r="W101" s="390"/>
      <c r="X101" s="387">
        <f ca="1">IF(W100=0,0,X100/W100-1)</f>
        <v>0.19116114238065474</v>
      </c>
      <c r="Y101" s="390"/>
      <c r="Z101" s="387">
        <f ca="1">IF(Y100=0,0,Z100/Y100-1)</f>
        <v>0.31471418532745243</v>
      </c>
      <c r="AA101" s="390"/>
      <c r="AB101" s="387">
        <f ca="1">IF(AA100=0,0,AB100/AA100-1)</f>
        <v>-0.1278115546544718</v>
      </c>
      <c r="AC101" s="390"/>
      <c r="AD101" s="387">
        <f ca="1">IF(AC100=0,0,AD100/AC100-1)</f>
        <v>-0.30679906270822344</v>
      </c>
      <c r="AE101" s="390"/>
      <c r="AF101" s="415">
        <f ca="1">IF(AE100=0,0,AF100/AE100-1)</f>
        <v>15.638650969333483</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1209</v>
      </c>
      <c r="B102" s="378" t="s">
        <v>837</v>
      </c>
      <c r="C102" s="386">
        <f>'Расчет базового уровня'!D102</f>
        <v>22856</v>
      </c>
      <c r="D102" s="1791">
        <f>D103+D104</f>
        <v>22856</v>
      </c>
      <c r="E102" s="417"/>
      <c r="F102" s="50"/>
      <c r="G102" s="416" t="s">
        <v>1209</v>
      </c>
      <c r="H102" s="378" t="s">
        <v>837</v>
      </c>
      <c r="I102" s="386">
        <f>'Расчет базового уровня'!J102</f>
        <v>2953</v>
      </c>
      <c r="J102" s="386">
        <f>$D$102/12</f>
        <v>1904.6666666666667</v>
      </c>
      <c r="K102" s="386">
        <f>'Расчет базового уровня'!L102</f>
        <v>3449</v>
      </c>
      <c r="L102" s="386">
        <f>$D$102/12</f>
        <v>1904.6666666666667</v>
      </c>
      <c r="M102" s="386">
        <f>'Расчет базового уровня'!N102</f>
        <v>1</v>
      </c>
      <c r="N102" s="386">
        <f>$D$102/12</f>
        <v>1904.6666666666667</v>
      </c>
      <c r="O102" s="386">
        <f>'Расчет базового уровня'!P102</f>
        <v>3789.9999999999995</v>
      </c>
      <c r="P102" s="386">
        <f>$D$102/12</f>
        <v>1904.6666666666667</v>
      </c>
      <c r="Q102" s="386">
        <f>'Расчет базового уровня'!R102</f>
        <v>601</v>
      </c>
      <c r="R102" s="386">
        <f>$D$102/12</f>
        <v>1904.6666666666667</v>
      </c>
      <c r="S102" s="386">
        <f>'Расчет базового уровня'!T102</f>
        <v>1683</v>
      </c>
      <c r="T102" s="386">
        <f>$D$102/12</f>
        <v>1904.6666666666667</v>
      </c>
      <c r="U102" s="386">
        <f>'Расчет базового уровня'!V102</f>
        <v>1963</v>
      </c>
      <c r="V102" s="412">
        <f>$D$102/12</f>
        <v>1904.6666666666667</v>
      </c>
      <c r="W102" s="386">
        <f>'Расчет базового уровня'!X102</f>
        <v>1598.9999999999998</v>
      </c>
      <c r="X102" s="386">
        <f>$D$102/12</f>
        <v>1904.6666666666667</v>
      </c>
      <c r="Y102" s="386">
        <f>'Расчет базового уровня'!Z102</f>
        <v>1466.0000000000002</v>
      </c>
      <c r="Z102" s="386">
        <f>$D$102/12</f>
        <v>1904.6666666666667</v>
      </c>
      <c r="AA102" s="386">
        <f>'Расчет базового уровня'!AB102</f>
        <v>2297</v>
      </c>
      <c r="AB102" s="412">
        <f>$D$102/12</f>
        <v>1904.6666666666667</v>
      </c>
      <c r="AC102" s="386">
        <f>'Расчет базового уровня'!AD102</f>
        <v>2929.0000000000005</v>
      </c>
      <c r="AD102" s="386">
        <f>$D$102/12</f>
        <v>1904.6666666666667</v>
      </c>
      <c r="AE102" s="386">
        <f>'Расчет базового уровня'!AF102</f>
        <v>125</v>
      </c>
      <c r="AF102" s="413">
        <f>$D$102/12</f>
        <v>1904.6666666666667</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2425</v>
      </c>
      <c r="B103" s="378" t="s">
        <v>837</v>
      </c>
      <c r="C103" s="386">
        <f>'Расчет базового уровня'!D104</f>
        <v>22856</v>
      </c>
      <c r="D103" s="1791">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22856</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2426</v>
      </c>
      <c r="B104" s="378" t="s">
        <v>837</v>
      </c>
      <c r="C104" s="386">
        <f>'Расчет базового уровня'!D105</f>
        <v>0</v>
      </c>
      <c r="D104" s="1791">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0</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1164</v>
      </c>
      <c r="C105" s="390"/>
      <c r="D105" s="415">
        <f>IF(C102=0,0,D102/C102-1)</f>
        <v>0</v>
      </c>
      <c r="E105" s="50"/>
      <c r="F105" s="50"/>
      <c r="G105" s="414" t="s">
        <v>1303</v>
      </c>
      <c r="H105" s="378" t="s">
        <v>1164</v>
      </c>
      <c r="I105" s="390"/>
      <c r="J105" s="387">
        <f>IF(I102=0,0,J102/I102-1)</f>
        <v>-0.3550062083756631</v>
      </c>
      <c r="K105" s="390"/>
      <c r="L105" s="387">
        <f>IF(K102=0,0,L102/K102-1)</f>
        <v>-0.44776263651299897</v>
      </c>
      <c r="M105" s="390"/>
      <c r="N105" s="387">
        <f>IF(M102=0,0,N102/M102-1)</f>
        <v>1903.6666666666667</v>
      </c>
      <c r="O105" s="390"/>
      <c r="P105" s="387">
        <f>IF(O102=0,0,P102/O102-1)</f>
        <v>-0.49744942832014061</v>
      </c>
      <c r="Q105" s="390"/>
      <c r="R105" s="387">
        <f>IF(Q102=0,0,R102/Q102-1)</f>
        <v>2.1691625069328899</v>
      </c>
      <c r="S105" s="390"/>
      <c r="T105" s="387">
        <f>IF(S102=0,0,T102/S102-1)</f>
        <v>0.13170924935630812</v>
      </c>
      <c r="U105" s="390"/>
      <c r="V105" s="387">
        <f>IF(U102=0,0,V102/U102-1)</f>
        <v>-2.9716420444897196E-2</v>
      </c>
      <c r="W105" s="390"/>
      <c r="X105" s="387">
        <f>IF(W102=0,0,X102/W102-1)</f>
        <v>0.19116114238065474</v>
      </c>
      <c r="Y105" s="390"/>
      <c r="Z105" s="387">
        <f>IF(Y102=0,0,Z102/Y102-1)</f>
        <v>0.29922692132787621</v>
      </c>
      <c r="AA105" s="390"/>
      <c r="AB105" s="387">
        <f>IF(AA102=0,0,AB102/AA102-1)</f>
        <v>-0.17080249600928743</v>
      </c>
      <c r="AC105" s="390"/>
      <c r="AD105" s="387">
        <f>IF(AC102=0,0,AD102/AC102-1)</f>
        <v>-0.34972117901445321</v>
      </c>
      <c r="AE105" s="390"/>
      <c r="AF105" s="415">
        <f>IF(AE102=0,0,AF102/AE102-1)</f>
        <v>14.237333333333334</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1216</v>
      </c>
      <c r="B106" s="378" t="s">
        <v>837</v>
      </c>
      <c r="C106" s="386">
        <f>'Расчет базового уровня'!D106</f>
        <v>0</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0</v>
      </c>
      <c r="E106" s="285"/>
      <c r="F106" s="418"/>
      <c r="G106" s="416" t="s">
        <v>1216</v>
      </c>
      <c r="H106" s="378" t="s">
        <v>837</v>
      </c>
      <c r="I106" s="386">
        <f>'Расчет базового уровня'!J106</f>
        <v>0</v>
      </c>
      <c r="J106" s="386">
        <f>D106/12</f>
        <v>0</v>
      </c>
      <c r="K106" s="386">
        <f>'Расчет базового уровня'!L106</f>
        <v>0</v>
      </c>
      <c r="L106" s="386">
        <f>J106</f>
        <v>0</v>
      </c>
      <c r="M106" s="386">
        <f>'Расчет базового уровня'!N106</f>
        <v>0</v>
      </c>
      <c r="N106" s="390">
        <f>L106</f>
        <v>0</v>
      </c>
      <c r="O106" s="386">
        <f>'Расчет базового уровня'!P106</f>
        <v>0</v>
      </c>
      <c r="P106" s="390">
        <f>N106</f>
        <v>0</v>
      </c>
      <c r="Q106" s="386">
        <f>'Расчет базового уровня'!R106</f>
        <v>0</v>
      </c>
      <c r="R106" s="390">
        <f>P106</f>
        <v>0</v>
      </c>
      <c r="S106" s="386">
        <f>'Расчет базового уровня'!T106</f>
        <v>0</v>
      </c>
      <c r="T106" s="390">
        <f>R106</f>
        <v>0</v>
      </c>
      <c r="U106" s="386">
        <f>'Расчет базового уровня'!V106</f>
        <v>0</v>
      </c>
      <c r="V106" s="419">
        <f>T106</f>
        <v>0</v>
      </c>
      <c r="W106" s="386">
        <f>'Расчет базового уровня'!X106</f>
        <v>0</v>
      </c>
      <c r="X106" s="390">
        <f>V106</f>
        <v>0</v>
      </c>
      <c r="Y106" s="386">
        <f>'Расчет базового уровня'!Z106</f>
        <v>0</v>
      </c>
      <c r="Z106" s="390">
        <f>X106</f>
        <v>0</v>
      </c>
      <c r="AA106" s="386">
        <f>'Расчет базового уровня'!AB106</f>
        <v>0</v>
      </c>
      <c r="AB106" s="419">
        <f>Z106</f>
        <v>0</v>
      </c>
      <c r="AC106" s="386">
        <f>'Расчет базового уровня'!AD106</f>
        <v>0</v>
      </c>
      <c r="AD106" s="390">
        <f>AB106</f>
        <v>0</v>
      </c>
      <c r="AE106" s="386">
        <f>'Расчет базового уровня'!AF106</f>
        <v>0</v>
      </c>
      <c r="AF106" s="420">
        <f>AD106</f>
        <v>0</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1164</v>
      </c>
      <c r="C107" s="390"/>
      <c r="D107" s="415">
        <f>IF(C106=0,0,D106/C106-1)</f>
        <v>0</v>
      </c>
      <c r="E107" s="285"/>
      <c r="F107" s="50"/>
      <c r="G107" s="414" t="s">
        <v>1303</v>
      </c>
      <c r="H107" s="378" t="s">
        <v>1164</v>
      </c>
      <c r="I107" s="390"/>
      <c r="J107" s="387">
        <f>IF(I106=0,0,J106/I106-1)</f>
        <v>0</v>
      </c>
      <c r="K107" s="390"/>
      <c r="L107" s="387">
        <f>IF(K106=0,0,L106/K106-1)</f>
        <v>0</v>
      </c>
      <c r="M107" s="390"/>
      <c r="N107" s="387">
        <f>IF(M106=0,0,N106/M106-1)</f>
        <v>0</v>
      </c>
      <c r="O107" s="390"/>
      <c r="P107" s="387">
        <f>IF(O106=0,0,P106/O106-1)</f>
        <v>0</v>
      </c>
      <c r="Q107" s="390"/>
      <c r="R107" s="387">
        <f>IF(Q106=0,0,R106/Q106-1)</f>
        <v>0</v>
      </c>
      <c r="S107" s="390"/>
      <c r="T107" s="387">
        <f>IF(S106=0,0,T106/S106-1)</f>
        <v>0</v>
      </c>
      <c r="U107" s="390"/>
      <c r="V107" s="387">
        <f>IF(U106=0,0,V106/U106-1)</f>
        <v>0</v>
      </c>
      <c r="W107" s="390"/>
      <c r="X107" s="387">
        <f>IF(W106=0,0,X106/W106-1)</f>
        <v>0</v>
      </c>
      <c r="Y107" s="390"/>
      <c r="Z107" s="387">
        <f>IF(Y106=0,0,Z106/Y106-1)</f>
        <v>0</v>
      </c>
      <c r="AA107" s="390"/>
      <c r="AB107" s="387">
        <f>IF(AA106=0,0,AB106/AA106-1)</f>
        <v>0</v>
      </c>
      <c r="AC107" s="390"/>
      <c r="AD107" s="387">
        <f>IF(AC106=0,0,AD106/AC106-1)</f>
        <v>0</v>
      </c>
      <c r="AE107" s="390"/>
      <c r="AF107" s="415">
        <f>IF(AE106=0,0,AF106/AE106-1)</f>
        <v>0</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1218</v>
      </c>
      <c r="B108" s="378" t="s">
        <v>837</v>
      </c>
      <c r="C108" s="386">
        <f>'Расчет базового уровня'!D108</f>
        <v>0</v>
      </c>
      <c r="D108" s="409">
        <f ca="1">D110+D111+D112</f>
        <v>1135.5285111000082</v>
      </c>
      <c r="E108" s="285"/>
      <c r="F108" s="285"/>
      <c r="G108" s="416" t="s">
        <v>1217</v>
      </c>
      <c r="H108" s="378" t="s">
        <v>837</v>
      </c>
      <c r="I108" s="386">
        <f>'Расчет базового уровня'!J108</f>
        <v>0</v>
      </c>
      <c r="J108" s="409">
        <f ca="1">J110+J111+J112</f>
        <v>203.35646628549725</v>
      </c>
      <c r="K108" s="386">
        <f>'Расчет базового уровня'!L108</f>
        <v>0</v>
      </c>
      <c r="L108" s="409">
        <f ca="1">L110+L111+L112</f>
        <v>188.36745792675964</v>
      </c>
      <c r="M108" s="386">
        <f>'Расчет базового уровня'!N108</f>
        <v>0</v>
      </c>
      <c r="N108" s="409">
        <f ca="1">N110+N111+N112</f>
        <v>186.2930315206024</v>
      </c>
      <c r="O108" s="386">
        <f>'Расчет базового уровня'!P108</f>
        <v>0</v>
      </c>
      <c r="P108" s="409">
        <f ca="1">P110+P111+P112</f>
        <v>97.718571963994975</v>
      </c>
      <c r="Q108" s="386">
        <f>'Расчет базового уровня'!R108</f>
        <v>0</v>
      </c>
      <c r="R108" s="409">
        <f ca="1">R110+R111+R112</f>
        <v>23.498813800475553</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22.704329023378765</v>
      </c>
      <c r="AA108" s="386">
        <f>'Расчет базового уровня'!AB108</f>
        <v>0</v>
      </c>
      <c r="AB108" s="409">
        <f ca="1">AB110+AB111+AB112</f>
        <v>98.750192292011405</v>
      </c>
      <c r="AC108" s="386">
        <f>'Расчет базового уровня'!AD108</f>
        <v>0</v>
      </c>
      <c r="AD108" s="409">
        <f ca="1">AD110+AD111+AD112</f>
        <v>125.71887866094725</v>
      </c>
      <c r="AE108" s="386">
        <f>'Расчет базового уровня'!AF108</f>
        <v>0</v>
      </c>
      <c r="AF108" s="409">
        <f ca="1">AF110+AF111+AF112</f>
        <v>175.16470450001884</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1164</v>
      </c>
      <c r="C109" s="390"/>
      <c r="D109" s="415">
        <f>IF(C108=0,0,D108/C108-1)</f>
        <v>0</v>
      </c>
      <c r="E109" s="50"/>
      <c r="F109" s="50"/>
      <c r="G109" s="414" t="s">
        <v>1303</v>
      </c>
      <c r="H109" s="378" t="s">
        <v>1164</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981</v>
      </c>
      <c r="B110" s="378" t="s">
        <v>837</v>
      </c>
      <c r="C110" s="386">
        <f>'Расчет базового уровня'!D110</f>
        <v>0</v>
      </c>
      <c r="D110" s="421">
        <f ca="1">'Система электроснабжения'!C50</f>
        <v>1135.5285111000082</v>
      </c>
      <c r="E110" s="381"/>
      <c r="F110" s="50"/>
      <c r="G110" s="414" t="s">
        <v>981</v>
      </c>
      <c r="H110" s="378" t="s">
        <v>837</v>
      </c>
      <c r="I110" s="390"/>
      <c r="J110" s="421">
        <f ca="1">'Система электроснабжения'!$E$50</f>
        <v>203.35646628549725</v>
      </c>
      <c r="K110" s="390"/>
      <c r="L110" s="421">
        <f ca="1">'Система электроснабжения'!$F$50</f>
        <v>188.36745792675964</v>
      </c>
      <c r="M110" s="390"/>
      <c r="N110" s="421">
        <f ca="1">'Система электроснабжения'!$G$50</f>
        <v>186.2930315206024</v>
      </c>
      <c r="O110" s="390"/>
      <c r="P110" s="421">
        <f ca="1">'Система электроснабжения'!$H$50</f>
        <v>97.718571963994975</v>
      </c>
      <c r="Q110" s="390"/>
      <c r="R110" s="421">
        <f ca="1">'Система электроснабжения'!$I$50</f>
        <v>23.498813800475553</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22.704329023378765</v>
      </c>
      <c r="AA110" s="390"/>
      <c r="AB110" s="421">
        <f ca="1">'Система электроснабжения'!$N$50</f>
        <v>98.750192292011405</v>
      </c>
      <c r="AC110" s="390"/>
      <c r="AD110" s="421">
        <f ca="1">'Система электроснабжения'!$O$50</f>
        <v>125.71887866094725</v>
      </c>
      <c r="AE110" s="390"/>
      <c r="AF110" s="421">
        <f ca="1">'Система электроснабжения'!$P$50</f>
        <v>175.16470450001884</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1312</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1312</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1210</v>
      </c>
      <c r="B113" s="378" t="s">
        <v>837</v>
      </c>
      <c r="C113" s="386">
        <f>'Расчет базового уровня'!D113</f>
        <v>0</v>
      </c>
      <c r="D113" s="409">
        <f>'Ввод исходных данных'!$D$179*'Ввод исходных данных'!$D$180</f>
        <v>0</v>
      </c>
      <c r="E113" s="50"/>
      <c r="F113" s="50"/>
      <c r="G113" s="416" t="s">
        <v>1210</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1164</v>
      </c>
      <c r="C114" s="390"/>
      <c r="D114" s="415">
        <f>IF(C113=0,0,D113/C113-1)</f>
        <v>0</v>
      </c>
      <c r="E114" s="50"/>
      <c r="F114" s="50"/>
      <c r="G114" s="414" t="s">
        <v>1303</v>
      </c>
      <c r="H114" s="378" t="s">
        <v>1164</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1211</v>
      </c>
      <c r="B115" s="378" t="s">
        <v>837</v>
      </c>
      <c r="C115" s="390"/>
      <c r="D115" s="413"/>
      <c r="E115" s="50"/>
      <c r="F115" s="50"/>
      <c r="G115" s="423" t="s">
        <v>1212</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1164</v>
      </c>
      <c r="C116" s="390"/>
      <c r="D116" s="413"/>
      <c r="E116" s="50"/>
      <c r="F116" s="50"/>
      <c r="G116" s="414" t="s">
        <v>868</v>
      </c>
      <c r="H116" s="378" t="s">
        <v>1164</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1213</v>
      </c>
      <c r="B117" s="425" t="s">
        <v>1173</v>
      </c>
      <c r="C117" s="426">
        <f>'Расчет базового уровня'!D117</f>
        <v>5.0579799946888553</v>
      </c>
      <c r="D117" s="427">
        <f ca="1">D100/('Ввод исходных данных'!$G$56+'Ввод исходных данных'!$D$23)</f>
        <v>5.3092698307293986</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1553</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2066.65</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1.053639846743295</v>
      </c>
      <c r="D136" s="443">
        <v>1</v>
      </c>
      <c r="E136" s="445">
        <f>IF(C136=0,0,B136/C136*D136)*(1-D165)</f>
        <v>1961.4387272727274</v>
      </c>
      <c r="F136" s="446">
        <f>E136*(20-$D$147)</f>
        <v>107879.13</v>
      </c>
      <c r="G136" s="445">
        <f t="shared" ref="G136:R136" ca="1" si="0">$E$136*0.024*G$149</f>
        <v>45530.48488843636</v>
      </c>
      <c r="H136" s="445">
        <f t="shared" ca="1" si="0"/>
        <v>42046.969708799996</v>
      </c>
      <c r="I136" s="445">
        <f t="shared" ca="1" si="0"/>
        <v>42174.07093832727</v>
      </c>
      <c r="J136" s="445">
        <f t="shared" ca="1" si="0"/>
        <v>24572.904375272727</v>
      </c>
      <c r="K136" s="445">
        <f t="shared" ca="1" si="0"/>
        <v>7343.6265949090912</v>
      </c>
      <c r="L136" s="445">
        <f t="shared" ca="1" si="0"/>
        <v>0</v>
      </c>
      <c r="M136" s="445">
        <f t="shared" ca="1" si="0"/>
        <v>0</v>
      </c>
      <c r="N136" s="445">
        <f t="shared" ca="1" si="0"/>
        <v>0</v>
      </c>
      <c r="O136" s="445">
        <f t="shared" ca="1" si="0"/>
        <v>6778.7322414545451</v>
      </c>
      <c r="P136" s="445">
        <f t="shared" ca="1" si="0"/>
        <v>24954.208063854549</v>
      </c>
      <c r="Q136" s="445">
        <f t="shared" ca="1" si="0"/>
        <v>30080.624321454547</v>
      </c>
      <c r="R136" s="445">
        <f t="shared" ca="1" si="0"/>
        <v>39985.105318690912</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732</v>
      </c>
      <c r="C137" s="448">
        <f>IF('Список мероприятий'!AB16=1,VLOOKUP('Список мероприятий'!D17,'Библиотека технологий'!A50:B61,2,0),'Расчет базового уровня'!C137)</f>
        <v>0.70732394366197182</v>
      </c>
      <c r="D137" s="443">
        <v>1</v>
      </c>
      <c r="E137" s="445">
        <f t="shared" ref="E137:E143" si="1">IF(C137=0,0,B137/C137*D137)</f>
        <v>1034.8864994026285</v>
      </c>
      <c r="F137" s="446">
        <f t="shared" ref="F137:F145" si="2">E137*(20-$D$147)</f>
        <v>56918.757467144569</v>
      </c>
      <c r="G137" s="445">
        <f t="shared" ref="G137:R137" ca="1" si="3">$E$137*0.024*G$149</f>
        <v>24022.613333333331</v>
      </c>
      <c r="H137" s="445">
        <f t="shared" ca="1" si="3"/>
        <v>22184.654910394263</v>
      </c>
      <c r="I137" s="445">
        <f t="shared" ca="1" si="3"/>
        <v>22251.715555555555</v>
      </c>
      <c r="J137" s="445">
        <f t="shared" ca="1" si="3"/>
        <v>12965.05806451613</v>
      </c>
      <c r="K137" s="445">
        <f t="shared" ca="1" si="3"/>
        <v>3874.6150537634412</v>
      </c>
      <c r="L137" s="445">
        <f t="shared" ca="1" si="3"/>
        <v>0</v>
      </c>
      <c r="M137" s="445">
        <f t="shared" ca="1" si="3"/>
        <v>0</v>
      </c>
      <c r="N137" s="445">
        <f t="shared" ca="1" si="3"/>
        <v>0</v>
      </c>
      <c r="O137" s="445">
        <f t="shared" ca="1" si="3"/>
        <v>3576.5677419354843</v>
      </c>
      <c r="P137" s="445">
        <f t="shared" ca="1" si="3"/>
        <v>13166.240000000002</v>
      </c>
      <c r="Q137" s="445">
        <f t="shared" ca="1" si="3"/>
        <v>15871.019354838711</v>
      </c>
      <c r="R137" s="445">
        <f t="shared" ca="1" si="3"/>
        <v>21096.782222222224</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19.2</v>
      </c>
      <c r="C138" s="443">
        <f>IF('Список мероприятий'!AB14=1,VLOOKUP('Список мероприятий'!D15,'Библиотека технологий'!A40:B47,2,0),'Расчет базового уровня'!C138)</f>
        <v>0.46500000000000002</v>
      </c>
      <c r="D138" s="443">
        <v>1</v>
      </c>
      <c r="E138" s="445">
        <f t="shared" si="1"/>
        <v>41.29032258064516</v>
      </c>
      <c r="F138" s="446">
        <f t="shared" si="2"/>
        <v>2270.9677419354839</v>
      </c>
      <c r="G138" s="445">
        <f t="shared" ref="G138:R138" ca="1" si="4">$E$138*0.024*G$149</f>
        <v>958.46399999999994</v>
      </c>
      <c r="H138" s="445">
        <f t="shared" ca="1" si="4"/>
        <v>885.1323870967741</v>
      </c>
      <c r="I138" s="445">
        <f t="shared" ca="1" si="4"/>
        <v>887.80799999999999</v>
      </c>
      <c r="J138" s="445">
        <f t="shared" ca="1" si="4"/>
        <v>517.28516129032255</v>
      </c>
      <c r="K138" s="445">
        <f t="shared" ca="1" si="4"/>
        <v>154.59096774193549</v>
      </c>
      <c r="L138" s="445">
        <f t="shared" ca="1" si="4"/>
        <v>0</v>
      </c>
      <c r="M138" s="445">
        <f t="shared" ca="1" si="4"/>
        <v>0</v>
      </c>
      <c r="N138" s="445">
        <f t="shared" ca="1" si="4"/>
        <v>0</v>
      </c>
      <c r="O138" s="445">
        <f t="shared" ca="1" si="4"/>
        <v>142.69935483870967</v>
      </c>
      <c r="P138" s="445">
        <f t="shared" ca="1" si="4"/>
        <v>525.31200000000001</v>
      </c>
      <c r="Q138" s="445">
        <f t="shared" ca="1" si="4"/>
        <v>633.22838709677421</v>
      </c>
      <c r="R138" s="445">
        <f t="shared" ca="1" si="4"/>
        <v>841.72799999999995</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1511</v>
      </c>
      <c r="B139" s="445">
        <f>'Расчет базового уровня'!B139</f>
        <v>23</v>
      </c>
      <c r="C139" s="448">
        <f>'Расчет базового уровня'!C139</f>
        <v>0.55652173913043479</v>
      </c>
      <c r="D139" s="445">
        <f>'Расчет базового уровня'!D139</f>
        <v>1</v>
      </c>
      <c r="E139" s="445">
        <f>'Расчет базового уровня'!E139</f>
        <v>41.328125</v>
      </c>
      <c r="F139" s="446">
        <f t="shared" si="2"/>
        <v>2273.046875</v>
      </c>
      <c r="G139" s="445">
        <f>'Расчет базового уровня'!G139</f>
        <v>1042.3614375</v>
      </c>
      <c r="H139" s="445">
        <f>'Расчет базового уровня'!H139</f>
        <v>897.05174999999997</v>
      </c>
      <c r="I139" s="445">
        <f>'Расчет базового уровня'!I139</f>
        <v>753.32906250000008</v>
      </c>
      <c r="J139" s="445">
        <f>'Расчет базового уровня'!J139</f>
        <v>490.97812500000003</v>
      </c>
      <c r="K139" s="445">
        <f>'Расчет базового уровня'!K139</f>
        <v>60.603562500000002</v>
      </c>
      <c r="L139" s="445">
        <f>'Расчет базового уровня'!L139</f>
        <v>0</v>
      </c>
      <c r="M139" s="445">
        <f>'Расчет базового уровня'!M139</f>
        <v>0</v>
      </c>
      <c r="N139" s="445">
        <f>'Расчет базового уровня'!N139</f>
        <v>0</v>
      </c>
      <c r="O139" s="445">
        <f>'Расчет базового уровня'!O139</f>
        <v>67.695468750000003</v>
      </c>
      <c r="P139" s="445">
        <f>'Расчет базового уровня'!P139</f>
        <v>544.24181249999992</v>
      </c>
      <c r="Q139" s="445">
        <f>'Расчет базового уровня'!Q139</f>
        <v>761.76</v>
      </c>
      <c r="R139" s="445">
        <f>'Расчет базового уровня'!R139</f>
        <v>962.41631250000012</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1293</v>
      </c>
      <c r="B140" s="443">
        <f>'Расчет базового уровня'!B140</f>
        <v>1110</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2.4048531289910602</v>
      </c>
      <c r="D140" s="443">
        <v>1</v>
      </c>
      <c r="E140" s="445">
        <f t="shared" si="1"/>
        <v>461.56664896441845</v>
      </c>
      <c r="F140" s="446">
        <f t="shared" si="2"/>
        <v>25386.165693043014</v>
      </c>
      <c r="G140" s="445">
        <f t="shared" ref="G140:R140" ca="1" si="5">$E$140*0.024*G$149</f>
        <v>10714.254309081251</v>
      </c>
      <c r="H140" s="445">
        <f t="shared" ca="1" si="5"/>
        <v>9894.5119405204441</v>
      </c>
      <c r="I140" s="445">
        <f t="shared" ca="1" si="5"/>
        <v>9924.4214593733395</v>
      </c>
      <c r="J140" s="445">
        <f t="shared" ca="1" si="5"/>
        <v>5782.5069782262344</v>
      </c>
      <c r="K140" s="445">
        <f t="shared" ca="1" si="5"/>
        <v>1728.1055337227826</v>
      </c>
      <c r="L140" s="445">
        <f t="shared" ca="1" si="5"/>
        <v>0</v>
      </c>
      <c r="M140" s="445">
        <f t="shared" ca="1" si="5"/>
        <v>0</v>
      </c>
      <c r="N140" s="445">
        <f t="shared" ca="1" si="5"/>
        <v>0</v>
      </c>
      <c r="O140" s="445">
        <f t="shared" ca="1" si="5"/>
        <v>1595.17433882103</v>
      </c>
      <c r="P140" s="445">
        <f t="shared" ca="1" si="5"/>
        <v>5872.235534784917</v>
      </c>
      <c r="Q140" s="445">
        <f t="shared" ca="1" si="5"/>
        <v>7078.5861285183209</v>
      </c>
      <c r="R140" s="445">
        <f t="shared" ca="1" si="5"/>
        <v>9409.3130791290478</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1294</v>
      </c>
      <c r="B141" s="443">
        <f>IF('Список мероприятий'!AB26=0,'Расчет базового уровня'!B141,'Расчет базового уровня'!B142+'Расчет базового уровня'!B141)</f>
        <v>0</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3.1072796934865901</v>
      </c>
      <c r="D141" s="448">
        <f>IF(AND(списки!D31+списки!D32=1,'Список мероприятий'!AB26=0),0.9,IF(списки!D31+списки!D32=0,1,((списки!$C$56-'Расчет после реализации'!D161)/(списки!$C$56-'Расчет после реализации'!$D$147))))</f>
        <v>1</v>
      </c>
      <c r="E141" s="445">
        <f>IF(C141=0,0,B141/C141*D141)</f>
        <v>0</v>
      </c>
      <c r="F141" s="446">
        <f t="shared" si="2"/>
        <v>0</v>
      </c>
      <c r="G141" s="445">
        <f t="shared" ref="G141:R142" ca="1" si="6">$E$141*0.024*G$149</f>
        <v>0</v>
      </c>
      <c r="H141" s="445">
        <f t="shared" ca="1" si="6"/>
        <v>0</v>
      </c>
      <c r="I141" s="445">
        <f t="shared" ca="1" si="6"/>
        <v>0</v>
      </c>
      <c r="J141" s="445">
        <f t="shared" ca="1" si="6"/>
        <v>0</v>
      </c>
      <c r="K141" s="445">
        <f t="shared" ca="1" si="6"/>
        <v>0</v>
      </c>
      <c r="L141" s="445">
        <f t="shared" ca="1" si="6"/>
        <v>0</v>
      </c>
      <c r="M141" s="445">
        <f t="shared" ca="1" si="6"/>
        <v>0</v>
      </c>
      <c r="N141" s="445">
        <f t="shared" ca="1" si="6"/>
        <v>0</v>
      </c>
      <c r="O141" s="445">
        <f t="shared" ca="1" si="6"/>
        <v>0</v>
      </c>
      <c r="P141" s="445">
        <f t="shared" ca="1" si="6"/>
        <v>0</v>
      </c>
      <c r="Q141" s="445">
        <f t="shared" ca="1" si="6"/>
        <v>0</v>
      </c>
      <c r="R141" s="445">
        <f t="shared" ca="1" si="6"/>
        <v>0</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1295</v>
      </c>
      <c r="B142" s="443">
        <f>'Расчет базового уровня'!B142+'Расчет базового уровня'!B141-'Расчет после реализации'!B141</f>
        <v>0</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2.053639846743295</v>
      </c>
      <c r="D142" s="448">
        <f>IF(AND(списки!D31+списки!D32=1,
                   'Список мероприятий'!AB26=0),
              0.9,
              IF(списки!D31+списки!D32=0,
                          1,
                          ((списки!$C$56-
                              'Расчет после реализации'!D162)/
                            (списки!$C$56-
                              'Расчет после реализации'!$D$147))))</f>
        <v>1</v>
      </c>
      <c r="E142" s="445">
        <f>IF(C142=0,0,B142/C142*D142)</f>
        <v>0</v>
      </c>
      <c r="F142" s="446">
        <f t="shared" si="2"/>
        <v>0</v>
      </c>
      <c r="G142" s="445">
        <f t="shared" ca="1" si="6"/>
        <v>0</v>
      </c>
      <c r="H142" s="445">
        <f t="shared" ca="1" si="6"/>
        <v>0</v>
      </c>
      <c r="I142" s="445">
        <f t="shared" ca="1" si="6"/>
        <v>0</v>
      </c>
      <c r="J142" s="445">
        <f t="shared" ca="1" si="6"/>
        <v>0</v>
      </c>
      <c r="K142" s="445">
        <f t="shared" ca="1" si="6"/>
        <v>0</v>
      </c>
      <c r="L142" s="445">
        <f t="shared" ca="1" si="6"/>
        <v>0</v>
      </c>
      <c r="M142" s="445">
        <f t="shared" ca="1" si="6"/>
        <v>0</v>
      </c>
      <c r="N142" s="445">
        <f t="shared" ca="1" si="6"/>
        <v>0</v>
      </c>
      <c r="O142" s="445">
        <f t="shared" ca="1" si="6"/>
        <v>0</v>
      </c>
      <c r="P142" s="445">
        <f t="shared" ca="1" si="6"/>
        <v>0</v>
      </c>
      <c r="Q142" s="445">
        <f t="shared" ca="1" si="6"/>
        <v>0</v>
      </c>
      <c r="R142" s="445">
        <f t="shared" ca="1" si="6"/>
        <v>0</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1296</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1.053639846743295</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1292</v>
      </c>
      <c r="B144" s="443">
        <f>'Расчет базового уровня'!B144</f>
        <v>811.2</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0.63218390804597702</v>
      </c>
      <c r="D144" s="448">
        <f>(списки!C56-'Расчет базового уровня'!$D$162)/(списки!C56-'Расчет базового уровня'!$D$147)</f>
        <v>0.32727272727272727</v>
      </c>
      <c r="E144" s="445">
        <f>IF(C144=0,0,B144/C144*D144)</f>
        <v>419.94684297520661</v>
      </c>
      <c r="F144" s="446">
        <f t="shared" si="2"/>
        <v>23097.076363636363</v>
      </c>
      <c r="G144" s="445">
        <f t="shared" ref="G144:R144" ca="1" si="8">$E$144*0.024*G$149</f>
        <v>9748.1420766148749</v>
      </c>
      <c r="H144" s="445">
        <f t="shared" ca="1" si="8"/>
        <v>9002.3164834909076</v>
      </c>
      <c r="I144" s="445">
        <f t="shared" ca="1" si="8"/>
        <v>9029.5290389157017</v>
      </c>
      <c r="J144" s="445">
        <f t="shared" ca="1" si="8"/>
        <v>5261.0940487933885</v>
      </c>
      <c r="K144" s="445">
        <f t="shared" ca="1" si="8"/>
        <v>1572.2809800991736</v>
      </c>
      <c r="L144" s="445">
        <f t="shared" ca="1" si="8"/>
        <v>0</v>
      </c>
      <c r="M144" s="445">
        <f t="shared" ca="1" si="8"/>
        <v>0</v>
      </c>
      <c r="N144" s="445">
        <f t="shared" ca="1" si="8"/>
        <v>0</v>
      </c>
      <c r="O144" s="445">
        <f t="shared" ca="1" si="8"/>
        <v>1451.3362893223141</v>
      </c>
      <c r="P144" s="445">
        <f t="shared" ca="1" si="8"/>
        <v>5342.7317150677691</v>
      </c>
      <c r="Q144" s="445">
        <f t="shared" ca="1" si="8"/>
        <v>6440.3047838677685</v>
      </c>
      <c r="R144" s="445">
        <f t="shared" ca="1" si="8"/>
        <v>8560.8683621553719</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1214</v>
      </c>
      <c r="B145" s="443">
        <f>'Расчет базового уровня'!B145</f>
        <v>12</v>
      </c>
      <c r="C145" s="443">
        <f>IF('Список мероприятий'!AB75=1,0.95,'Расчет базового уровня'!C145)</f>
        <v>0.95</v>
      </c>
      <c r="D145" s="448">
        <v>1</v>
      </c>
      <c r="E145" s="445">
        <f>IF(C145=0,0,B145/C145*D145)</f>
        <v>12.631578947368421</v>
      </c>
      <c r="F145" s="446">
        <f t="shared" si="2"/>
        <v>694.73684210526312</v>
      </c>
      <c r="G145" s="445">
        <f ca="1">$E$145*0.024*G$149</f>
        <v>293.21431578947369</v>
      </c>
      <c r="H145" s="445">
        <f t="shared" ref="H145:R145" ca="1" si="9">$E$145*0.024*H$149</f>
        <v>270.78063157894735</v>
      </c>
      <c r="I145" s="445">
        <f t="shared" ca="1" si="9"/>
        <v>271.59915789473683</v>
      </c>
      <c r="J145" s="445">
        <f t="shared" ca="1" si="9"/>
        <v>158.24842105263158</v>
      </c>
      <c r="K145" s="445">
        <f t="shared" ca="1" si="9"/>
        <v>47.292631578947372</v>
      </c>
      <c r="L145" s="445">
        <f t="shared" ca="1" si="9"/>
        <v>0</v>
      </c>
      <c r="M145" s="445">
        <f t="shared" ca="1" si="9"/>
        <v>0</v>
      </c>
      <c r="N145" s="445">
        <f t="shared" ca="1" si="9"/>
        <v>0</v>
      </c>
      <c r="O145" s="445">
        <f t="shared" ca="1" si="9"/>
        <v>43.654736842105265</v>
      </c>
      <c r="P145" s="445">
        <f t="shared" ca="1" si="9"/>
        <v>160.70400000000001</v>
      </c>
      <c r="Q145" s="445">
        <f t="shared" ca="1" si="9"/>
        <v>193.71789473684211</v>
      </c>
      <c r="R145" s="445">
        <f t="shared" ca="1" si="9"/>
        <v>257.5023157894737</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4762.05</v>
      </c>
      <c r="C146" s="443"/>
      <c r="D146" s="443"/>
      <c r="E146" s="445">
        <f>SUM(E136:E145)</f>
        <v>3973.0887451429949</v>
      </c>
      <c r="F146" s="1441">
        <f>E146*(20-$D$147)/1000</f>
        <v>218.51988098286472</v>
      </c>
      <c r="G146" s="445">
        <f ca="1">SUM(G136:G145)</f>
        <v>92309.534360755293</v>
      </c>
      <c r="H146" s="445">
        <f t="shared" ref="H146:R146" ca="1" si="10">SUM(H136:H145)</f>
        <v>85181.417811881343</v>
      </c>
      <c r="I146" s="445">
        <f t="shared" ca="1" si="10"/>
        <v>85292.473212566605</v>
      </c>
      <c r="J146" s="445">
        <f t="shared" ca="1" si="10"/>
        <v>49748.07517415144</v>
      </c>
      <c r="K146" s="445">
        <f t="shared" ca="1" si="10"/>
        <v>14781.115324315371</v>
      </c>
      <c r="L146" s="445">
        <f t="shared" ca="1" si="10"/>
        <v>0</v>
      </c>
      <c r="M146" s="445">
        <f t="shared" ca="1" si="10"/>
        <v>0</v>
      </c>
      <c r="N146" s="445">
        <f t="shared" ca="1" si="10"/>
        <v>0</v>
      </c>
      <c r="O146" s="445">
        <f t="shared" ca="1" si="10"/>
        <v>13655.860171964188</v>
      </c>
      <c r="P146" s="445">
        <f t="shared" ca="1" si="10"/>
        <v>50565.673126207228</v>
      </c>
      <c r="Q146" s="445">
        <f t="shared" ca="1" si="10"/>
        <v>61059.240870512964</v>
      </c>
      <c r="R146" s="445">
        <f t="shared" ca="1" si="10"/>
        <v>81113.715610487023</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-35</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1360</v>
      </c>
      <c r="C148" s="451" t="s">
        <v>748</v>
      </c>
      <c r="D148" s="443">
        <f ca="1">'Ввод исходных данных'!D209</f>
        <v>237</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30</v>
      </c>
      <c r="K148" s="452">
        <f ca="1">'Ввод исходных данных'!$I$277</f>
        <v>13</v>
      </c>
      <c r="L148" s="452">
        <f ca="1">'Ввод исходных данных'!$I$278</f>
        <v>0</v>
      </c>
      <c r="M148" s="452">
        <f ca="1">'Ввод исходных данных'!$I$279</f>
        <v>0</v>
      </c>
      <c r="N148" s="452">
        <f ca="1">'Ввод исходных данных'!$I$280</f>
        <v>0</v>
      </c>
      <c r="O148" s="452">
        <f ca="1">'Ввод исходных данных'!$I$281</f>
        <v>12</v>
      </c>
      <c r="P148" s="452">
        <f ca="1">'Ввод исходных данных'!$I$282</f>
        <v>31</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5596.7999999999993</v>
      </c>
      <c r="E149" s="50"/>
      <c r="F149" s="50"/>
      <c r="G149" s="452">
        <f ca="1">'Ввод исходных данных'!$G$273</f>
        <v>967.19999999999993</v>
      </c>
      <c r="H149" s="452">
        <f ca="1">'Ввод исходных данных'!$G$274</f>
        <v>893.19999999999993</v>
      </c>
      <c r="I149" s="452">
        <f ca="1">'Ввод исходных данных'!$G$275</f>
        <v>895.9</v>
      </c>
      <c r="J149" s="452">
        <f ca="1">'Ввод исходных данных'!$G$276</f>
        <v>522</v>
      </c>
      <c r="K149" s="452">
        <f ca="1">'Ввод исходных данных'!$G$277</f>
        <v>156</v>
      </c>
      <c r="L149" s="452">
        <f ca="1">'Ввод исходных данных'!$G$278</f>
        <v>0</v>
      </c>
      <c r="M149" s="452">
        <f ca="1">'Ввод исходных данных'!$G$279</f>
        <v>0</v>
      </c>
      <c r="N149" s="452">
        <f ca="1">'Ввод исходных данных'!$G$280</f>
        <v>0</v>
      </c>
      <c r="O149" s="452">
        <f ca="1">'Ввод исходных данных'!$G$281</f>
        <v>144</v>
      </c>
      <c r="P149" s="452">
        <f ca="1">'Ввод исходных данных'!$G$282</f>
        <v>530.1</v>
      </c>
      <c r="Q149" s="452">
        <f ca="1">'Ввод исходных данных'!$G$283</f>
        <v>639</v>
      </c>
      <c r="R149" s="452">
        <f ca="1">'Ввод исходных данных'!$G$284</f>
        <v>849.4</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17</v>
      </c>
      <c r="E150" s="50"/>
      <c r="F150" s="457">
        <f>17*D152/1000</f>
        <v>50.199300000000001</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17.602032520325206</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1358</v>
      </c>
      <c r="B152" s="454" t="s">
        <v>1359</v>
      </c>
      <c r="C152" s="459" t="s">
        <v>492</v>
      </c>
      <c r="D152" s="458">
        <f>'Расчет базового уровня'!D152</f>
        <v>2952.9</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120.11068209760033</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1.1299999999999999</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1513</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17602.520090527392</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0.13104601506312683</v>
      </c>
      <c r="F163" s="50"/>
      <c r="G163" s="462">
        <f ca="1">0.28*(4*'Ввод исходных данных'!$D$23*'Расчет базового уровня'!$D$154*0.5+'Расчет базового уровня'!$D$164*'Расчет базового уровня'!$D$156*0.5)*'Расчет базового уровня'!$D$157*0.024*G149</f>
        <v>3041.94493845735</v>
      </c>
      <c r="H163" s="462">
        <f ca="1">0.28*(4*'Ввод исходных данных'!$D$23*'Расчет базового уровня'!$D$154*0.5+'Расчет базового уровня'!$D$164*'Расчет базового уровня'!$D$156*0.5)*'Расчет базового уровня'!$D$157*0.024*H149</f>
        <v>2809.2072157052366</v>
      </c>
      <c r="I163" s="462">
        <f ca="1">0.28*(4*'Ввод исходных данных'!$D$23*'Расчет базового уровня'!$D$154*0.5+'Расчет базового уровня'!$D$164*'Расчет базового уровня'!$D$156*0.5)*'Расчет базового уровня'!$D$157*0.024*I149</f>
        <v>2817.6989974813273</v>
      </c>
      <c r="J163" s="462">
        <f ca="1">0.28*(4*'Ввод исходных данных'!$D$23*'Расчет базового уровня'!$D$154*0.5+'Расчет базового уровня'!$D$164*'Расчет базового уровня'!$D$156*0.5)*'Расчет базового уровня'!$D$157*0.024*J149</f>
        <v>1641.7444767108527</v>
      </c>
      <c r="K163" s="462">
        <f ca="1">0.28*(4*'Ввод исходных данных'!$D$23*'Расчет базового уровня'!$D$154*0.5+'Расчет базового уровня'!$D$164*'Расчет базового уровня'!$D$156*0.5)*'Расчет базового уровня'!$D$157*0.024*K149</f>
        <v>490.63628039634682</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452.8950280581663</v>
      </c>
      <c r="P163" s="462">
        <f ca="1">0.28*(4*'Ввод исходных данных'!$D$23*'Расчет базового уровня'!$D$154*0.5+'Расчет базового уровня'!$D$164*'Расчет базового уровня'!$D$156*0.5)*'Расчет базового уровня'!$D$157*0.024*P149</f>
        <v>1667.2198220391247</v>
      </c>
      <c r="Q163" s="462">
        <f ca="1">0.28*(4*'Ввод исходных данных'!$D$23*'Расчет базового уровня'!$D$154*0.5+'Расчет базового уровня'!$D$164*'Расчет базового уровня'!$D$156*0.5)*'Расчет базового уровня'!$D$157*0.024*Q149</f>
        <v>2009.7216870081129</v>
      </c>
      <c r="R163" s="462">
        <f ca="1">0.28*(4*'Ввод исходных данных'!$D$23*'Расчет базового уровня'!$D$154*0.5+'Расчет базового уровня'!$D$164*'Расчет базового уровня'!$D$156*0.5)*'Расчет базового уровня'!$D$157*0.024*R149</f>
        <v>2671.4516446708781</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1514</v>
      </c>
      <c r="B164" s="466"/>
      <c r="C164" s="451" t="s">
        <v>1505</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28.624193360858452</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1290</v>
      </c>
      <c r="B165" s="466"/>
      <c r="C165" s="451" t="s">
        <v>1164</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69">
        <f>IFERROR(IF(VLOOKUP(G$131,'Ввод исходных данных'!$C$127:$D$132,2,FALSE)&gt;0,1,0),0)</f>
        <v>0</v>
      </c>
      <c r="H166" s="1769">
        <f>IFERROR(IF(VLOOKUP(H$131,'Ввод исходных данных'!$C$127:$D$132,2,FALSE)&gt;0,1,0),0)</f>
        <v>0</v>
      </c>
      <c r="I166" s="1769">
        <f>IFERROR(IF(VLOOKUP(I$131,'Ввод исходных данных'!$C$127:$D$132,2,FALSE)&gt;0,1,0),0)</f>
        <v>0</v>
      </c>
      <c r="J166" s="1769">
        <f>IFERROR(IF(VLOOKUP(J$131,'Ввод исходных данных'!$C$127:$D$132,2,FALSE)&gt;0,1,0),0)</f>
        <v>0</v>
      </c>
      <c r="K166" s="1769">
        <f>IFERROR(IF(VLOOKUP(K$131,'Ввод исходных данных'!$C$127:$D$132,2,FALSE)&gt;0,1,0),0)</f>
        <v>0</v>
      </c>
      <c r="L166" s="1769">
        <f>IFERROR(IF(VLOOKUP(L$131,'Ввод исходных данных'!$C$127:$D$132,2,FALSE)&gt;0,1,0),0)</f>
        <v>0</v>
      </c>
      <c r="M166" s="1769">
        <f>IFERROR(IF(VLOOKUP(M$131,'Ввод исходных данных'!$C$127:$D$132,2,FALSE)&gt;0,1,0),0)</f>
        <v>1</v>
      </c>
      <c r="N166" s="1769">
        <f>IFERROR(IF(VLOOKUP(N$131,'Ввод исходных данных'!$C$127:$D$132,2,FALSE)&gt;0,1,0),0)</f>
        <v>0</v>
      </c>
      <c r="O166" s="1769">
        <f>IFERROR(IF(VLOOKUP(O$131,'Ввод исходных данных'!$C$127:$D$132,2,FALSE)&gt;0,1,0),0)</f>
        <v>0</v>
      </c>
      <c r="P166" s="1769">
        <f>IFERROR(IF(VLOOKUP(P$131,'Ввод исходных данных'!$C$127:$D$132,2,FALSE)&gt;0,1,0),0)</f>
        <v>0</v>
      </c>
      <c r="Q166" s="1769">
        <f>IFERROR(IF(VLOOKUP(Q$131,'Ввод исходных данных'!$C$127:$D$132,2,FALSE)&gt;0,1,0),0)</f>
        <v>0</v>
      </c>
      <c r="R166" s="1769">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1414</v>
      </c>
      <c r="C167" s="451" t="s">
        <v>900</v>
      </c>
      <c r="D167" s="470">
        <f ca="1">D168*365/(D148+D169*(D170-D148))</f>
        <v>112.55506607929516</v>
      </c>
      <c r="E167" s="50"/>
      <c r="F167" s="50"/>
      <c r="G167" s="470">
        <f>'Расчет базового уровня'!G169</f>
        <v>112.95313881520778</v>
      </c>
      <c r="H167" s="470">
        <f>'Расчет базового уровня'!H169</f>
        <v>112.95313881520778</v>
      </c>
      <c r="I167" s="470">
        <f>'Расчет базового уровня'!I169</f>
        <v>112.95313881520778</v>
      </c>
      <c r="J167" s="470">
        <f>'Расчет базового уровня'!J169</f>
        <v>112.95313881520778</v>
      </c>
      <c r="K167" s="470">
        <f>'Расчет базового уровня'!K169</f>
        <v>101.65782493368701</v>
      </c>
      <c r="L167" s="470">
        <f>'Расчет базового уровня'!L169</f>
        <v>101.65782493368701</v>
      </c>
      <c r="M167" s="470">
        <f>'Расчет базового уровня'!M169</f>
        <v>101.65782493368701</v>
      </c>
      <c r="N167" s="470">
        <f>'Расчет базового уровня'!N169</f>
        <v>101.65782493368701</v>
      </c>
      <c r="O167" s="470">
        <f>'Расчет базового уровня'!O169</f>
        <v>101.65782493368701</v>
      </c>
      <c r="P167" s="470">
        <f>'Расчет базового уровня'!P169</f>
        <v>112.95313881520778</v>
      </c>
      <c r="Q167" s="470">
        <f>'Расчет базового уровня'!Q169</f>
        <v>112.95313881520778</v>
      </c>
      <c r="R167" s="470">
        <f>'Расчет базового уровня'!R169</f>
        <v>112.95313881520778</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352</v>
      </c>
      <c r="E170" s="50"/>
      <c r="F170" s="50"/>
      <c r="G170" s="1771">
        <f>G165-G166*IFERROR(VLOOKUP(G$131,'Ввод исходных данных'!$C$127:$D$132,2,FALSE),0)</f>
        <v>31</v>
      </c>
      <c r="H170" s="1771">
        <f>H165-H166*IFERROR(VLOOKUP(H$131,'Ввод исходных данных'!$C$127:$D$132,2,FALSE),0)</f>
        <v>28</v>
      </c>
      <c r="I170" s="1771">
        <f>I165-I166*IFERROR(VLOOKUP(I$131,'Ввод исходных данных'!$C$127:$D$132,2,FALSE),0)</f>
        <v>31</v>
      </c>
      <c r="J170" s="1771">
        <f>J165-J166*IFERROR(VLOOKUP(J$131,'Ввод исходных данных'!$C$127:$D$132,2,FALSE),0)</f>
        <v>30</v>
      </c>
      <c r="K170" s="1771">
        <f>K165-K166*IFERROR(VLOOKUP(K$131,'Ввод исходных данных'!$C$127:$D$132,2,FALSE),0)</f>
        <v>31</v>
      </c>
      <c r="L170" s="1771">
        <f>L165-L166*IFERROR(VLOOKUP(L$131,'Ввод исходных данных'!$C$127:$D$132,2,FALSE),0)</f>
        <v>30</v>
      </c>
      <c r="M170" s="1771">
        <f>M165-M166*IFERROR(VLOOKUP(M$131,'Ввод исходных данных'!$C$127:$D$132,2,FALSE),0)</f>
        <v>18</v>
      </c>
      <c r="N170" s="1771">
        <f>N165-N166*IFERROR(VLOOKUP(N$131,'Ввод исходных данных'!$C$127:$D$132,2,FALSE),0)</f>
        <v>31</v>
      </c>
      <c r="O170" s="1771">
        <f>O165-O166*IFERROR(VLOOKUP(O$131,'Ввод исходных данных'!$C$127:$D$132,2,FALSE),0)</f>
        <v>30</v>
      </c>
      <c r="P170" s="1771">
        <f>P165-P166*IFERROR(VLOOKUP(P$131,'Ввод исходных данных'!$C$127:$D$132,2,FALSE),0)</f>
        <v>31</v>
      </c>
      <c r="Q170" s="1771">
        <f>Q165-Q166*IFERROR(VLOOKUP(Q$131,'Ввод исходных данных'!$C$127:$D$132,2,FALSE),0)</f>
        <v>30</v>
      </c>
      <c r="R170" s="1771">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1.1536894273127754</v>
      </c>
      <c r="E171" s="50"/>
      <c r="F171" s="50"/>
      <c r="G171" s="474">
        <f>G167*'Ввод исходных данных'!$D$22/24/1000</f>
        <v>1.1577696728558797</v>
      </c>
      <c r="H171" s="474">
        <f>H167*'Ввод исходных данных'!$D$22/24/1000</f>
        <v>1.1577696728558797</v>
      </c>
      <c r="I171" s="474">
        <f>I167*'Ввод исходных данных'!$D$22/24/1000</f>
        <v>1.1577696728558797</v>
      </c>
      <c r="J171" s="474">
        <f>J167*'Ввод исходных данных'!$D$22/24/1000</f>
        <v>1.1577696728558797</v>
      </c>
      <c r="K171" s="474">
        <f>K167*'Ввод исходных данных'!$D$22/24/1000</f>
        <v>1.0419927055702918</v>
      </c>
      <c r="L171" s="474">
        <f>L167*'Ввод исходных данных'!$D$22/24/1000</f>
        <v>1.0419927055702918</v>
      </c>
      <c r="M171" s="474">
        <f>M167*'Ввод исходных данных'!$D$22/24/1000</f>
        <v>1.0419927055702918</v>
      </c>
      <c r="N171" s="474">
        <f>N167*'Ввод исходных данных'!$D$22/24/1000</f>
        <v>1.0419927055702918</v>
      </c>
      <c r="O171" s="474">
        <f>O167*'Ввод исходных данных'!$D$22/24/1000</f>
        <v>1.0419927055702918</v>
      </c>
      <c r="P171" s="474">
        <f>P167*'Ввод исходных данных'!$D$22/24/1000</f>
        <v>1.1577696728558797</v>
      </c>
      <c r="Q171" s="474">
        <f>Q167*'Ввод исходных данных'!$D$22/24/1000</f>
        <v>1.1577696728558797</v>
      </c>
      <c r="R171" s="474">
        <f>R167*'Ввод исходных данных'!$D$22/24/1000</f>
        <v>1.1577696728558797</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5.0940222542786993</v>
      </c>
      <c r="E172" s="50"/>
      <c r="F172" s="50"/>
      <c r="G172" s="474">
        <f>G171*'Система электроснабжения'!$C$54</f>
        <v>5.1120382481046178</v>
      </c>
      <c r="H172" s="474">
        <f>H171*'Система электроснабжения'!$C$54</f>
        <v>5.1120382481046178</v>
      </c>
      <c r="I172" s="474">
        <f>I171*'Система электроснабжения'!$C$54</f>
        <v>5.1120382481046178</v>
      </c>
      <c r="J172" s="474">
        <f>J171*'Система электроснабжения'!$C$54</f>
        <v>5.1120382481046178</v>
      </c>
      <c r="K172" s="474">
        <f>K171*'Система электроснабжения'!$C$54</f>
        <v>4.6008344232941569</v>
      </c>
      <c r="L172" s="474">
        <f>L171*'Система электроснабжения'!$C$54</f>
        <v>4.6008344232941569</v>
      </c>
      <c r="M172" s="474">
        <f>M171*'Система электроснабжения'!$C$54</f>
        <v>4.6008344232941569</v>
      </c>
      <c r="N172" s="474">
        <f>N171*'Система электроснабжения'!$C$54</f>
        <v>4.6008344232941569</v>
      </c>
      <c r="O172" s="474">
        <f>O171*'Система электроснабжения'!$C$54</f>
        <v>4.6008344232941569</v>
      </c>
      <c r="P172" s="474">
        <f>P171*'Система электроснабжения'!$C$54</f>
        <v>5.1120382481046178</v>
      </c>
      <c r="Q172" s="474">
        <f>Q171*'Система электроснабжения'!$C$54</f>
        <v>5.1120382481046178</v>
      </c>
      <c r="R172" s="474">
        <f>R171*'Система электроснабжения'!$C$54</f>
        <v>5.1120382481046178</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19.560350893294178</v>
      </c>
      <c r="E173" s="50"/>
      <c r="F173" s="50"/>
      <c r="G173" s="475">
        <f xml:space="preserve"> (G167*($D$174-$D$175)*(1+$D$176)*1*$D$177)/(3.6*24*$D$178)</f>
        <v>19.629529853128993</v>
      </c>
      <c r="H173" s="475">
        <f t="shared" ref="H173:R173" si="11" xml:space="preserve"> (H167*($D$174-$D$175)*(1+$D$176)*1*$D$177)/(3.6*24*$D$178)</f>
        <v>19.629529853128993</v>
      </c>
      <c r="I173" s="475">
        <f t="shared" si="11"/>
        <v>19.629529853128993</v>
      </c>
      <c r="J173" s="475">
        <f t="shared" si="11"/>
        <v>19.629529853128993</v>
      </c>
      <c r="K173" s="475">
        <f t="shared" si="11"/>
        <v>17.666576867816094</v>
      </c>
      <c r="L173" s="475">
        <f t="shared" si="11"/>
        <v>17.666576867816094</v>
      </c>
      <c r="M173" s="475">
        <f t="shared" si="11"/>
        <v>17.666576867816094</v>
      </c>
      <c r="N173" s="475">
        <f t="shared" si="11"/>
        <v>17.666576867816094</v>
      </c>
      <c r="O173" s="475">
        <f t="shared" si="11"/>
        <v>17.666576867816094</v>
      </c>
      <c r="P173" s="475">
        <f t="shared" si="11"/>
        <v>19.629529853128993</v>
      </c>
      <c r="Q173" s="475">
        <f t="shared" si="11"/>
        <v>19.629529853128993</v>
      </c>
      <c r="R173" s="475">
        <f t="shared" si="11"/>
        <v>19.629529853128993</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8.267045454545455</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0.3</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1219</v>
      </c>
      <c r="B177" s="477"/>
      <c r="C177" s="451" t="s">
        <v>1220</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1415</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17.602032520325206</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1486</v>
      </c>
      <c r="B180" s="477"/>
      <c r="C180" s="451" t="s">
        <v>1167</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1495</v>
      </c>
      <c r="B181" s="477" t="s">
        <v>1496</v>
      </c>
      <c r="C181" s="451" t="s">
        <v>1502</v>
      </c>
      <c r="D181" s="470">
        <f>0.28*'Ввод исходных данных'!$G$60*(D183-D184)+0.03*D183*Климатология!$H$2^2</f>
        <v>8.795779199387578</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1498</v>
      </c>
      <c r="B182" s="477" t="s">
        <v>1497</v>
      </c>
      <c r="C182" s="451" t="s">
        <v>1502</v>
      </c>
      <c r="D182" s="470">
        <f>0.55*('Ввод исходных данных'!$G$60-1)*(D183-D184)+0.03*D183*Климатология!$H$2^2</f>
        <v>12.328489872093392</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1499</v>
      </c>
      <c r="B183" s="477"/>
      <c r="C183" s="451" t="s">
        <v>1503</v>
      </c>
      <c r="D183" s="470">
        <f>3463/(273+Климатология!$F$2)</f>
        <v>12.945794392523364</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1500</v>
      </c>
      <c r="B184" s="477"/>
      <c r="C184" s="451" t="s">
        <v>1503</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1494</v>
      </c>
      <c r="B185" s="477"/>
      <c r="C185" s="451" t="s">
        <v>1504</v>
      </c>
      <c r="D185" s="479">
        <f>IF('Список мероприятий'!AB14=1,0.86,'Расчет базового уровня'!D187)</f>
        <v>0.49</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1493</v>
      </c>
      <c r="B186" s="477"/>
      <c r="C186" s="451" t="s">
        <v>1504</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1492</v>
      </c>
      <c r="B187" s="477"/>
      <c r="C187" s="451" t="s">
        <v>1505</v>
      </c>
      <c r="D187" s="470">
        <f>(B138/D185)*(D181/10)^(2/3)</f>
        <v>35.971180813766253</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1491</v>
      </c>
      <c r="B188" s="477"/>
      <c r="C188" s="451" t="s">
        <v>1505</v>
      </c>
      <c r="D188" s="470">
        <f>(B145/D186)*(D182/10)^(1/2)</f>
        <v>83.275299777620333</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1490</v>
      </c>
      <c r="B189" s="477"/>
      <c r="C189" s="451" t="s">
        <v>1505</v>
      </c>
      <c r="D189" s="470">
        <f>D187+D188</f>
        <v>119.24648059138659</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1489</v>
      </c>
      <c r="B190" s="477"/>
      <c r="C190" s="451" t="s">
        <v>496</v>
      </c>
      <c r="D190" s="470">
        <f>0.024*D187*'Расчет базового уровня'!$D$149*0.28</f>
        <v>1386.9048474555718</v>
      </c>
      <c r="E190" s="50"/>
      <c r="F190" s="50"/>
      <c r="G190" s="470">
        <f ca="1">0.024*$D$187*G$149*0.28</f>
        <v>233.79771127826211</v>
      </c>
      <c r="H190" s="470">
        <f t="shared" ref="H190:R190" ca="1" si="12">0.024*$D$187*H$149*0.28</f>
        <v>215.90996248319246</v>
      </c>
      <c r="I190" s="470">
        <f t="shared" ca="1" si="12"/>
        <v>216.56262358787743</v>
      </c>
      <c r="J190" s="470">
        <f t="shared" ca="1" si="12"/>
        <v>126.18114690576184</v>
      </c>
      <c r="K190" s="470">
        <f t="shared" ca="1" si="12"/>
        <v>37.709308270687444</v>
      </c>
      <c r="L190" s="470">
        <f t="shared" ca="1" si="12"/>
        <v>0</v>
      </c>
      <c r="M190" s="470">
        <f t="shared" ca="1" si="12"/>
        <v>0</v>
      </c>
      <c r="N190" s="470">
        <f t="shared" ca="1" si="12"/>
        <v>0</v>
      </c>
      <c r="O190" s="470">
        <f t="shared" ca="1" si="12"/>
        <v>34.808592249865335</v>
      </c>
      <c r="P190" s="470">
        <f t="shared" ca="1" si="12"/>
        <v>128.13913021981676</v>
      </c>
      <c r="Q190" s="470">
        <f t="shared" ca="1" si="12"/>
        <v>154.46312810877743</v>
      </c>
      <c r="R190" s="470">
        <f t="shared" ca="1" si="12"/>
        <v>205.32234900719175</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1488</v>
      </c>
      <c r="B191" s="477"/>
      <c r="C191" s="451" t="s">
        <v>496</v>
      </c>
      <c r="D191" s="470">
        <f>0.024*D188*'Расчет базового уровня'!$D$149*0.28</f>
        <v>3210.76245822593</v>
      </c>
      <c r="E191" s="50"/>
      <c r="F191" s="50"/>
      <c r="G191" s="470">
        <f ca="1">0.024*$D$188*G$149*0.28</f>
        <v>541.25480602982475</v>
      </c>
      <c r="H191" s="470">
        <f t="shared" ref="H191:R191" ca="1" si="13">0.024*$D$188*H$149*0.28</f>
        <v>499.84366495640967</v>
      </c>
      <c r="I191" s="470">
        <f t="shared" ca="1" si="13"/>
        <v>501.35461199557477</v>
      </c>
      <c r="J191" s="470">
        <f t="shared" ca="1" si="13"/>
        <v>292.11642757192772</v>
      </c>
      <c r="K191" s="470">
        <f t="shared" ca="1" si="13"/>
        <v>87.299162262874958</v>
      </c>
      <c r="L191" s="470">
        <f t="shared" ca="1" si="13"/>
        <v>0</v>
      </c>
      <c r="M191" s="470">
        <f t="shared" ca="1" si="13"/>
        <v>0</v>
      </c>
      <c r="N191" s="470">
        <f t="shared" ca="1" si="13"/>
        <v>0</v>
      </c>
      <c r="O191" s="470">
        <f t="shared" ca="1" si="13"/>
        <v>80.583842088807643</v>
      </c>
      <c r="P191" s="470">
        <f t="shared" ca="1" si="13"/>
        <v>296.6492686894232</v>
      </c>
      <c r="Q191" s="470">
        <f t="shared" ca="1" si="13"/>
        <v>357.59079926908396</v>
      </c>
      <c r="R191" s="470">
        <f t="shared" ca="1" si="13"/>
        <v>475.33274632106406</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1487</v>
      </c>
      <c r="B192" s="477"/>
      <c r="C192" s="451" t="s">
        <v>496</v>
      </c>
      <c r="D192" s="470">
        <f>0.024*D189*'Расчет базового уровня'!$D$149*0.28</f>
        <v>4597.6673056815016</v>
      </c>
      <c r="E192" s="50"/>
      <c r="F192" s="50"/>
      <c r="G192" s="470">
        <f ca="1">0.024*$D$189*G$149*0.28</f>
        <v>775.05251730808686</v>
      </c>
      <c r="H192" s="470">
        <f t="shared" ref="H192:R192" ca="1" si="14">0.024*$D$189*H$149*0.28</f>
        <v>715.75362743960216</v>
      </c>
      <c r="I192" s="470">
        <f t="shared" ca="1" si="14"/>
        <v>717.91723558345234</v>
      </c>
      <c r="J192" s="470">
        <f t="shared" ca="1" si="14"/>
        <v>418.29757447768958</v>
      </c>
      <c r="K192" s="470">
        <f t="shared" ca="1" si="14"/>
        <v>125.0084705335624</v>
      </c>
      <c r="L192" s="470">
        <f t="shared" ca="1" si="14"/>
        <v>0</v>
      </c>
      <c r="M192" s="470">
        <f t="shared" ca="1" si="14"/>
        <v>0</v>
      </c>
      <c r="N192" s="470">
        <f t="shared" ca="1" si="14"/>
        <v>0</v>
      </c>
      <c r="O192" s="470">
        <f t="shared" ca="1" si="14"/>
        <v>115.392434338673</v>
      </c>
      <c r="P192" s="470">
        <f t="shared" ca="1" si="14"/>
        <v>424.78839890923996</v>
      </c>
      <c r="Q192" s="470">
        <f t="shared" ca="1" si="14"/>
        <v>512.05392737786144</v>
      </c>
      <c r="R192" s="470">
        <f t="shared" ca="1" si="14"/>
        <v>680.65509532825581</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E83:AF83"/>
    <mergeCell ref="U83:V83"/>
    <mergeCell ref="W83:X83"/>
    <mergeCell ref="Y83:Z83"/>
    <mergeCell ref="AA83:AB83"/>
    <mergeCell ref="AC83:AD83"/>
    <mergeCell ref="K83:L83"/>
    <mergeCell ref="M83:N83"/>
    <mergeCell ref="O83:P83"/>
    <mergeCell ref="Q83:R83"/>
    <mergeCell ref="S83:T83"/>
    <mergeCell ref="I98:J98"/>
    <mergeCell ref="H83:H84"/>
    <mergeCell ref="A97:D97"/>
    <mergeCell ref="A98:A99"/>
    <mergeCell ref="B98:B99"/>
    <mergeCell ref="D98:D99"/>
    <mergeCell ref="C98:C99"/>
    <mergeCell ref="G98:G99"/>
    <mergeCell ref="H98:H99"/>
    <mergeCell ref="G83:G84"/>
    <mergeCell ref="I83:J83"/>
    <mergeCell ref="A82:D82"/>
    <mergeCell ref="A83:A84"/>
    <mergeCell ref="B83:B84"/>
    <mergeCell ref="D83:D84"/>
    <mergeCell ref="C83:C84"/>
    <mergeCell ref="U4:V4"/>
    <mergeCell ref="W4:X4"/>
    <mergeCell ref="Y4:Z4"/>
    <mergeCell ref="AA4:AB4"/>
    <mergeCell ref="AE33:AF33"/>
    <mergeCell ref="U33:V33"/>
    <mergeCell ref="W33:X33"/>
    <mergeCell ref="Y33:Z33"/>
    <mergeCell ref="AA33:AB33"/>
    <mergeCell ref="AC33:AD33"/>
    <mergeCell ref="AC4:AD4"/>
    <mergeCell ref="AE4:AF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A32:D32"/>
    <mergeCell ref="A33:A34"/>
    <mergeCell ref="B33:B34"/>
    <mergeCell ref="D33:D34"/>
    <mergeCell ref="C33:C34"/>
    <mergeCell ref="A3:E3"/>
    <mergeCell ref="A4:A5"/>
    <mergeCell ref="B4:B5"/>
    <mergeCell ref="D4:D5"/>
    <mergeCell ref="C4:C5"/>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1276</v>
      </c>
      <c r="C2" s="259" t="s">
        <v>1339</v>
      </c>
      <c r="D2" s="259" t="s">
        <v>1277</v>
      </c>
      <c r="E2" s="259" t="s">
        <v>1541</v>
      </c>
      <c r="F2" s="259" t="s">
        <v>1540</v>
      </c>
      <c r="G2" s="50"/>
      <c r="H2" s="50"/>
      <c r="I2" s="50"/>
      <c r="J2" s="50"/>
      <c r="K2" s="50"/>
    </row>
    <row r="3" spans="1:11" x14ac:dyDescent="0.25">
      <c r="A3" s="71" t="s">
        <v>1230</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1230</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1230</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1230</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1230</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1230</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1231</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1231</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1231</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1231</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1231</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1231</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1459</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1459</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1459</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1459</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1459</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1459</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1236</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1236</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1236</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1236</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1236</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1236</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1232</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1232</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1232</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1235</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1235</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1235</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1235</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1235</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1235</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1525</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1279</v>
      </c>
      <c r="C39" s="50"/>
      <c r="D39" s="50"/>
      <c r="E39" s="50"/>
      <c r="F39" s="50"/>
      <c r="G39" s="50"/>
      <c r="H39" s="50"/>
      <c r="I39" s="50"/>
      <c r="J39" s="50"/>
      <c r="K39" s="50"/>
    </row>
    <row r="40" spans="1:11" x14ac:dyDescent="0.25">
      <c r="A40" s="71" t="s">
        <v>1240</v>
      </c>
      <c r="B40" s="71">
        <v>0.55000000000000004</v>
      </c>
      <c r="C40" s="50"/>
      <c r="D40" s="50"/>
      <c r="E40" s="50"/>
      <c r="F40" s="50"/>
      <c r="G40" s="50"/>
      <c r="H40" s="50"/>
      <c r="I40" s="50"/>
      <c r="J40" s="50"/>
      <c r="K40" s="50"/>
    </row>
    <row r="41" spans="1:11" x14ac:dyDescent="0.25">
      <c r="A41" s="71" t="s">
        <v>1241</v>
      </c>
      <c r="B41" s="71">
        <v>0.54</v>
      </c>
      <c r="C41" s="50"/>
      <c r="D41" s="50"/>
      <c r="E41" s="50"/>
      <c r="F41" s="50"/>
      <c r="G41" s="50"/>
      <c r="H41" s="50"/>
      <c r="I41" s="50"/>
      <c r="J41" s="50"/>
      <c r="K41" s="50"/>
    </row>
    <row r="42" spans="1:11" x14ac:dyDescent="0.25">
      <c r="A42" s="71" t="s">
        <v>1242</v>
      </c>
      <c r="B42" s="71">
        <v>0.68</v>
      </c>
      <c r="C42" s="50"/>
      <c r="D42" s="50"/>
      <c r="E42" s="50"/>
      <c r="F42" s="50"/>
      <c r="G42" s="50"/>
      <c r="H42" s="50"/>
      <c r="I42" s="50"/>
      <c r="J42" s="50"/>
      <c r="K42" s="50"/>
    </row>
    <row r="43" spans="1:11" x14ac:dyDescent="0.25">
      <c r="A43" s="71" t="s">
        <v>1246</v>
      </c>
      <c r="B43" s="71">
        <v>0.56000000000000005</v>
      </c>
      <c r="C43" s="50"/>
      <c r="D43" s="50"/>
      <c r="E43" s="50"/>
      <c r="F43" s="50"/>
      <c r="G43" s="50"/>
      <c r="H43" s="50"/>
      <c r="I43" s="50"/>
      <c r="J43" s="50"/>
      <c r="K43" s="50"/>
    </row>
    <row r="44" spans="1:11" x14ac:dyDescent="0.25">
      <c r="A44" s="71" t="s">
        <v>1247</v>
      </c>
      <c r="B44" s="71">
        <v>0.72</v>
      </c>
      <c r="C44" s="50"/>
      <c r="D44" s="50"/>
      <c r="E44" s="50"/>
      <c r="F44" s="50"/>
      <c r="G44" s="50"/>
      <c r="H44" s="50"/>
      <c r="I44" s="50"/>
      <c r="J44" s="50"/>
      <c r="K44" s="50"/>
    </row>
    <row r="45" spans="1:11" x14ac:dyDescent="0.25">
      <c r="A45" s="71" t="s">
        <v>1243</v>
      </c>
      <c r="B45" s="71">
        <v>0.7</v>
      </c>
      <c r="C45" s="50"/>
      <c r="D45" s="50"/>
      <c r="E45" s="50"/>
      <c r="F45" s="50"/>
      <c r="G45" s="50"/>
      <c r="H45" s="50"/>
      <c r="I45" s="50"/>
      <c r="J45" s="50"/>
      <c r="K45" s="50"/>
    </row>
    <row r="46" spans="1:11" x14ac:dyDescent="0.25">
      <c r="A46" s="71" t="s">
        <v>1244</v>
      </c>
      <c r="B46" s="71">
        <v>0.74</v>
      </c>
      <c r="C46" s="50"/>
      <c r="D46" s="50"/>
      <c r="E46" s="50"/>
      <c r="F46" s="50"/>
      <c r="G46" s="50"/>
      <c r="H46" s="50"/>
      <c r="I46" s="50"/>
      <c r="J46" s="50"/>
      <c r="K46" s="50"/>
    </row>
    <row r="47" spans="1:11" x14ac:dyDescent="0.25">
      <c r="A47" s="71" t="s">
        <v>1245</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1279</v>
      </c>
      <c r="C49" s="50"/>
      <c r="D49" s="50"/>
      <c r="E49" s="50"/>
      <c r="F49" s="50"/>
      <c r="G49" s="50"/>
      <c r="H49" s="50"/>
      <c r="I49" s="50"/>
      <c r="J49" s="50"/>
      <c r="K49" s="50"/>
    </row>
    <row r="50" spans="1:11" x14ac:dyDescent="0.25">
      <c r="A50" s="71" t="s">
        <v>1240</v>
      </c>
      <c r="B50" s="71">
        <v>0.55000000000000004</v>
      </c>
      <c r="C50" s="50"/>
      <c r="D50" s="50"/>
      <c r="E50" s="50"/>
      <c r="F50" s="50"/>
      <c r="G50" s="50"/>
      <c r="H50" s="50"/>
      <c r="I50" s="50"/>
      <c r="J50" s="50"/>
      <c r="K50" s="50"/>
    </row>
    <row r="51" spans="1:11" x14ac:dyDescent="0.25">
      <c r="A51" s="71" t="s">
        <v>1241</v>
      </c>
      <c r="B51" s="71">
        <v>0.54</v>
      </c>
      <c r="C51" s="50"/>
      <c r="D51" s="50"/>
      <c r="E51" s="50"/>
      <c r="F51" s="50"/>
      <c r="G51" s="50"/>
      <c r="H51" s="50"/>
      <c r="I51" s="50"/>
      <c r="J51" s="50"/>
      <c r="K51" s="50"/>
    </row>
    <row r="52" spans="1:11" x14ac:dyDescent="0.25">
      <c r="A52" s="71" t="s">
        <v>1242</v>
      </c>
      <c r="B52" s="71">
        <v>0.68</v>
      </c>
      <c r="C52" s="50"/>
      <c r="D52" s="50"/>
      <c r="E52" s="50"/>
      <c r="F52" s="50"/>
      <c r="G52" s="50"/>
      <c r="H52" s="50"/>
      <c r="I52" s="50"/>
      <c r="J52" s="50"/>
      <c r="K52" s="50"/>
    </row>
    <row r="53" spans="1:11" x14ac:dyDescent="0.25">
      <c r="A53" s="71" t="s">
        <v>1246</v>
      </c>
      <c r="B53" s="71">
        <v>0.56000000000000005</v>
      </c>
      <c r="C53" s="50"/>
      <c r="D53" s="50"/>
      <c r="E53" s="50"/>
      <c r="F53" s="50"/>
      <c r="G53" s="50"/>
      <c r="H53" s="50"/>
      <c r="I53" s="50"/>
      <c r="J53" s="50"/>
      <c r="K53" s="50"/>
    </row>
    <row r="54" spans="1:11" x14ac:dyDescent="0.25">
      <c r="A54" s="71" t="s">
        <v>1247</v>
      </c>
      <c r="B54" s="71">
        <v>0.72</v>
      </c>
      <c r="C54" s="50"/>
      <c r="D54" s="50"/>
      <c r="E54" s="50"/>
      <c r="F54" s="50"/>
      <c r="G54" s="50"/>
      <c r="H54" s="50"/>
      <c r="I54" s="50"/>
      <c r="J54" s="50"/>
      <c r="K54" s="50"/>
    </row>
    <row r="55" spans="1:11" x14ac:dyDescent="0.25">
      <c r="A55" s="71" t="s">
        <v>1243</v>
      </c>
      <c r="B55" s="71">
        <v>0.7</v>
      </c>
      <c r="C55" s="50"/>
      <c r="D55" s="50"/>
      <c r="E55" s="50"/>
      <c r="F55" s="50"/>
      <c r="G55" s="50"/>
      <c r="H55" s="50"/>
      <c r="I55" s="50"/>
      <c r="J55" s="50"/>
      <c r="K55" s="50"/>
    </row>
    <row r="56" spans="1:11" x14ac:dyDescent="0.25">
      <c r="A56" s="71" t="s">
        <v>1244</v>
      </c>
      <c r="B56" s="71">
        <v>0.74</v>
      </c>
      <c r="C56" s="50"/>
      <c r="D56" s="50"/>
      <c r="E56" s="50"/>
      <c r="F56" s="50"/>
      <c r="G56" s="50"/>
      <c r="H56" s="50"/>
      <c r="I56" s="50"/>
      <c r="J56" s="50"/>
      <c r="K56" s="50"/>
    </row>
    <row r="57" spans="1:11" x14ac:dyDescent="0.25">
      <c r="A57" s="71" t="s">
        <v>1245</v>
      </c>
      <c r="B57" s="71">
        <v>0.8</v>
      </c>
      <c r="C57" s="50"/>
      <c r="D57" s="50"/>
      <c r="E57" s="50"/>
      <c r="F57" s="50"/>
      <c r="G57" s="50"/>
      <c r="H57" s="50"/>
      <c r="I57" s="50"/>
      <c r="J57" s="50"/>
      <c r="K57" s="50"/>
    </row>
    <row r="58" spans="1:11" x14ac:dyDescent="0.25">
      <c r="A58" s="71" t="s">
        <v>2123</v>
      </c>
      <c r="B58" s="71">
        <v>0.87</v>
      </c>
      <c r="C58" s="50"/>
      <c r="D58" s="50"/>
      <c r="E58" s="50"/>
      <c r="F58" s="50"/>
      <c r="G58" s="50"/>
      <c r="H58" s="50"/>
      <c r="I58" s="50"/>
      <c r="J58" s="50"/>
      <c r="K58" s="50"/>
    </row>
    <row r="59" spans="1:11" x14ac:dyDescent="0.25">
      <c r="A59" s="71" t="s">
        <v>2124</v>
      </c>
      <c r="B59" s="71">
        <v>0.94</v>
      </c>
      <c r="C59" s="50"/>
      <c r="D59" s="50"/>
      <c r="E59" s="50"/>
      <c r="F59" s="50"/>
      <c r="G59" s="50"/>
      <c r="H59" s="50"/>
      <c r="I59" s="50"/>
      <c r="J59" s="50"/>
      <c r="K59" s="50"/>
    </row>
    <row r="60" spans="1:11" x14ac:dyDescent="0.25">
      <c r="A60" s="71" t="s">
        <v>2122</v>
      </c>
      <c r="B60" s="71">
        <v>1</v>
      </c>
      <c r="C60" s="50"/>
      <c r="D60" s="50"/>
      <c r="E60" s="50"/>
      <c r="F60" s="50"/>
      <c r="G60" s="50"/>
      <c r="H60" s="50"/>
      <c r="I60" s="50"/>
      <c r="J60" s="50"/>
      <c r="K60" s="50"/>
    </row>
    <row r="61" spans="1:11" x14ac:dyDescent="0.25">
      <c r="A61" s="71" t="s">
        <v>2125</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1538</v>
      </c>
      <c r="D77" s="71" t="s">
        <v>1539</v>
      </c>
      <c r="E77" s="50"/>
      <c r="F77" s="50"/>
      <c r="G77" s="50"/>
      <c r="H77" s="50"/>
      <c r="I77" s="50"/>
      <c r="J77" s="50"/>
      <c r="K77" s="50"/>
    </row>
    <row r="78" spans="1:11" x14ac:dyDescent="0.25">
      <c r="A78" s="71" t="s">
        <v>1469</v>
      </c>
      <c r="B78" s="71" t="s">
        <v>1285</v>
      </c>
      <c r="C78" s="71">
        <v>6000</v>
      </c>
      <c r="D78" s="71">
        <v>5000</v>
      </c>
      <c r="E78" s="50"/>
      <c r="F78" s="50"/>
      <c r="G78" s="50"/>
      <c r="H78" s="50"/>
      <c r="I78" s="50"/>
      <c r="J78" s="50"/>
      <c r="K78" s="50"/>
    </row>
    <row r="79" spans="1:11" x14ac:dyDescent="0.25">
      <c r="A79" s="71" t="s">
        <v>1470</v>
      </c>
      <c r="B79" s="71" t="s">
        <v>1471</v>
      </c>
      <c r="C79" s="71">
        <v>3800</v>
      </c>
      <c r="D79" s="71"/>
      <c r="E79" s="50"/>
      <c r="F79" s="50"/>
      <c r="G79" s="50"/>
      <c r="H79" s="50"/>
      <c r="I79" s="50"/>
      <c r="J79" s="50"/>
      <c r="K79" s="50"/>
    </row>
    <row r="80" spans="1:11" x14ac:dyDescent="0.25">
      <c r="A80" s="71" t="s">
        <v>1472</v>
      </c>
      <c r="B80" s="71" t="s">
        <v>853</v>
      </c>
      <c r="C80" s="71">
        <f>IF('Система электроснабжения'!D33*0.86&lt;200,700000,900000)</f>
        <v>900000</v>
      </c>
      <c r="D80" s="71">
        <f>C80*0.2+100000</f>
        <v>280000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2765080.5113282017</v>
      </c>
      <c r="D81" s="261">
        <f>C81*0.2+100000</f>
        <v>653016.10226564039</v>
      </c>
      <c r="E81" s="50"/>
      <c r="F81" s="50"/>
      <c r="G81" s="50"/>
      <c r="H81" s="50"/>
      <c r="I81" s="50"/>
      <c r="J81" s="50"/>
      <c r="K81" s="50"/>
    </row>
    <row r="82" spans="1:11" x14ac:dyDescent="0.25">
      <c r="A82" s="71" t="s">
        <v>1533</v>
      </c>
      <c r="B82" s="71" t="s">
        <v>853</v>
      </c>
      <c r="C82" s="261">
        <f>531500+285*'Расчет базового уровня'!E174</f>
        <v>634335.03940843453</v>
      </c>
      <c r="D82" s="71">
        <f>C82*0.2+100000</f>
        <v>226867.00788168691</v>
      </c>
      <c r="E82" s="50"/>
      <c r="F82" s="50"/>
      <c r="G82" s="50"/>
      <c r="H82" s="50"/>
      <c r="I82" s="50"/>
      <c r="J82" s="50"/>
      <c r="K82" s="50"/>
    </row>
    <row r="83" spans="1:11" x14ac:dyDescent="0.25">
      <c r="A83" s="71" t="s">
        <v>1537</v>
      </c>
      <c r="B83" s="71" t="s">
        <v>853</v>
      </c>
      <c r="C83" s="261">
        <f>150121*'Расчет базового уровня'!E175+23232</f>
        <v>69815.933676803135</v>
      </c>
      <c r="D83" s="71"/>
      <c r="E83" s="50"/>
      <c r="F83" s="50"/>
      <c r="G83" s="50"/>
      <c r="H83" s="50"/>
      <c r="I83" s="50"/>
      <c r="J83" s="50"/>
      <c r="K83" s="50"/>
    </row>
    <row r="84" spans="1:11" x14ac:dyDescent="0.25">
      <c r="A84" s="71" t="s">
        <v>1475</v>
      </c>
      <c r="B84" s="71" t="s">
        <v>493</v>
      </c>
      <c r="C84" s="71">
        <v>400</v>
      </c>
      <c r="D84" s="71"/>
      <c r="E84" s="50"/>
      <c r="F84" s="50"/>
      <c r="G84" s="50"/>
      <c r="H84" s="50"/>
      <c r="I84" s="50"/>
      <c r="J84" s="50"/>
      <c r="K84" s="50"/>
    </row>
    <row r="85" spans="1:11" x14ac:dyDescent="0.25">
      <c r="A85" s="71" t="s">
        <v>1476</v>
      </c>
      <c r="B85" s="71" t="s">
        <v>493</v>
      </c>
      <c r="C85" s="71">
        <f>285+91</f>
        <v>376</v>
      </c>
      <c r="D85" s="71"/>
      <c r="E85" s="50"/>
      <c r="F85" s="50"/>
      <c r="G85" s="50"/>
      <c r="H85" s="50"/>
      <c r="I85" s="50"/>
      <c r="J85" s="50"/>
      <c r="K85" s="50"/>
    </row>
    <row r="86" spans="1:11" x14ac:dyDescent="0.25">
      <c r="A86" s="71" t="s">
        <v>1529</v>
      </c>
      <c r="B86" s="71" t="s">
        <v>1285</v>
      </c>
      <c r="C86" s="71">
        <v>650000</v>
      </c>
      <c r="D86" s="71">
        <v>600000</v>
      </c>
      <c r="E86" s="50"/>
      <c r="F86" s="50"/>
      <c r="G86" s="50"/>
      <c r="H86" s="50"/>
      <c r="I86" s="50"/>
      <c r="J86" s="50"/>
      <c r="K86" s="50"/>
    </row>
    <row r="87" spans="1:11" x14ac:dyDescent="0.25">
      <c r="A87" s="71" t="s">
        <v>1473</v>
      </c>
      <c r="B87" s="71" t="s">
        <v>493</v>
      </c>
      <c r="C87" s="71">
        <v>90</v>
      </c>
      <c r="D87" s="71"/>
      <c r="E87" s="50"/>
      <c r="F87" s="50"/>
      <c r="G87" s="50"/>
      <c r="H87" s="50"/>
      <c r="I87" s="50"/>
      <c r="J87" s="50"/>
      <c r="K87" s="50"/>
    </row>
    <row r="88" spans="1:11" x14ac:dyDescent="0.25">
      <c r="A88" s="74" t="s">
        <v>1474</v>
      </c>
      <c r="B88" s="71" t="s">
        <v>1285</v>
      </c>
      <c r="C88" s="71">
        <v>150</v>
      </c>
      <c r="D88" s="71"/>
      <c r="E88" s="50"/>
      <c r="F88" s="50"/>
      <c r="G88" s="50"/>
      <c r="H88" s="50"/>
      <c r="I88" s="50"/>
      <c r="J88" s="50"/>
      <c r="K88" s="50"/>
    </row>
    <row r="89" spans="1:11" x14ac:dyDescent="0.25">
      <c r="A89" s="74" t="s">
        <v>1477</v>
      </c>
      <c r="B89" s="71" t="s">
        <v>1285</v>
      </c>
      <c r="C89" s="74">
        <v>500</v>
      </c>
      <c r="D89" s="71"/>
      <c r="E89" s="50"/>
      <c r="F89" s="50"/>
      <c r="G89" s="50"/>
      <c r="H89" s="50"/>
      <c r="I89" s="50"/>
      <c r="J89" s="50"/>
      <c r="K89" s="50"/>
    </row>
    <row r="90" spans="1:11" x14ac:dyDescent="0.25">
      <c r="A90" s="74" t="s">
        <v>1478</v>
      </c>
      <c r="B90" s="71" t="s">
        <v>1285</v>
      </c>
      <c r="C90" s="74">
        <v>36000</v>
      </c>
      <c r="D90" s="71"/>
      <c r="E90" s="50"/>
      <c r="F90" s="50"/>
      <c r="G90" s="50"/>
      <c r="H90" s="50"/>
      <c r="I90" s="50"/>
      <c r="J90" s="50"/>
      <c r="K90" s="50"/>
    </row>
    <row r="91" spans="1:11" x14ac:dyDescent="0.25">
      <c r="A91" s="74" t="s">
        <v>1531</v>
      </c>
      <c r="B91" s="71" t="s">
        <v>1532</v>
      </c>
      <c r="C91" s="74">
        <v>4000</v>
      </c>
      <c r="D91" s="71"/>
      <c r="E91" s="50"/>
      <c r="F91" s="50"/>
      <c r="G91" s="50"/>
      <c r="H91" s="50"/>
      <c r="I91" s="50"/>
      <c r="J91" s="50"/>
      <c r="K91" s="50"/>
    </row>
    <row r="92" spans="1:11" x14ac:dyDescent="0.25">
      <c r="A92" s="74" t="s">
        <v>1534</v>
      </c>
      <c r="B92" s="71" t="s">
        <v>1535</v>
      </c>
      <c r="C92" s="74">
        <v>400</v>
      </c>
      <c r="D92" s="71"/>
      <c r="E92" s="50" t="s">
        <v>1536</v>
      </c>
      <c r="F92" s="50"/>
      <c r="G92" s="50"/>
      <c r="H92" s="50"/>
      <c r="I92" s="50"/>
      <c r="J92" s="50"/>
      <c r="K92" s="50"/>
    </row>
    <row r="93" spans="1:11" x14ac:dyDescent="0.25">
      <c r="A93" s="74" t="s">
        <v>1479</v>
      </c>
      <c r="B93" s="71" t="s">
        <v>1285</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1542</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354" activePane="bottomRight" state="frozen"/>
      <selection activeCell="B77" sqref="B77:E77"/>
      <selection pane="topRight" activeCell="B77" sqref="B77:E77"/>
      <selection pane="bottomLeft" activeCell="B77" sqref="B77:E77"/>
      <selection pane="bottomRight" activeCell="B371" sqref="B371"/>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5000-6000</v>
      </c>
      <c r="D2" s="971"/>
      <c r="E2" s="51">
        <f>VLOOKUP(CONCATENATE('Ввод исходных данных'!$D$10,'Ввод исходных данных'!$D$11),Климатология!$D$9:$BF$548,E7,0)</f>
        <v>225</v>
      </c>
      <c r="F2" s="51">
        <f>VLOOKUP(CONCATENATE('Ввод исходных данных'!$D$10,'Ввод исходных данных'!$D$11),Климатология!$D$9:$BF$548,F7,0)</f>
        <v>-5.5</v>
      </c>
      <c r="G2" s="51">
        <f>VLOOKUP(CONCATENATE('Ввод исходных данных'!$D$10,'Ввод исходных данных'!$D$11),Климатология!$D$9:$BF$548,G7,0)</f>
        <v>-35</v>
      </c>
      <c r="H2" s="51">
        <f>VLOOKUP(CONCATENATE('Ввод исходных данных'!$D$10,'Ввод исходных данных'!$D$11),Климатология!$D$9:$BF$548,H7,0)</f>
        <v>3.4</v>
      </c>
      <c r="I2" s="51">
        <f>VLOOKUP(CONCATENATE('Ввод исходных данных'!$D$10,'Ввод исходных данных'!$D$11),Климатология!$D$9:$BF$548,I7,0)</f>
        <v>5737.5</v>
      </c>
      <c r="J2" s="51" t="str">
        <f>VLOOKUP(CONCATENATE('Ввод исходных данных'!$D$10,'Ввод исходных данных'!$D$11),Климатология!$D$9:$BF$548,J7,0)</f>
        <v>5000-6000</v>
      </c>
      <c r="K2" s="51">
        <f>VLOOKUP(CONCATENATE('Ввод исходных данных'!$D$10,'Ввод исходных данных'!$D$11),Климатология!$D$9:$BF$548,K7,0)</f>
        <v>18.2</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15.1</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9.5</v>
      </c>
      <c r="U2" s="51">
        <f>VLOOKUP(CONCATENATE('Ввод исходных данных'!$D$10,'Ввод исходных данных'!$D$11),Климатология!$D$9:$BF$548,U7,0)</f>
        <v>6.5</v>
      </c>
      <c r="V2" s="51">
        <f>VLOOKUP(CONCATENATE('Ввод исходных данных'!$D$10,'Ввод исходных данных'!$D$11),Климатология!$D$9:$BF$548,V7,0)</f>
        <v>68.25</v>
      </c>
      <c r="W2" s="51">
        <f>VLOOKUP(CONCATENATE('Ввод исходных данных'!$D$10,'Ввод исходных данных'!$D$11),Климатология!$D$9:$BF$548,W7,0)</f>
        <v>2.2999999999999998</v>
      </c>
      <c r="Y2" s="51">
        <f>VLOOKUP(CONCATENATE('Ввод исходных данных'!$D$10,'Ввод исходных данных'!$D$11),Климатология!$D$9:$BF$548,Y7,0)</f>
        <v>31</v>
      </c>
      <c r="Z2" s="51">
        <f>VLOOKUP(CONCATENATE('Ввод исходных данных'!$D$10,'Ввод исходных данных'!$D$11),Климатология!$D$9:$BF$548,Z7,0)</f>
        <v>548.69999999999993</v>
      </c>
      <c r="AA2" s="51">
        <f>VLOOKUP(CONCATENATE('Ввод исходных данных'!$D$10,'Ввод исходных данных'!$D$11),Климатология!$D$9:$BF$548,AA7,0)</f>
        <v>-5.6</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768</v>
      </c>
      <c r="AE2" s="51">
        <f>VLOOKUP(CONCATENATE('Ввод исходных данных'!$D$10,'Ввод исходных данных'!$D$11),Климатология!$D$9:$BF$548,AE7,0)</f>
        <v>-11.3</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970.30000000000007</v>
      </c>
      <c r="AI2" s="51">
        <f>VLOOKUP(CONCATENATE('Ввод исходных данных'!$D$10,'Ввод исходных данных'!$D$11),Климатология!$D$9:$BF$548,AI7,0)</f>
        <v>-13.9</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1050.8999999999999</v>
      </c>
      <c r="AM2" s="51">
        <f>VLOOKUP(CONCATENATE('Ввод исходных данных'!$D$10,'Ввод исходных данных'!$D$11),Климатология!$D$9:$BF$548,AM7,0)</f>
        <v>-12.3</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904.39999999999986</v>
      </c>
      <c r="AQ2" s="51">
        <f>VLOOKUP(CONCATENATE('Ввод исходных данных'!$D$10,'Ввод исходных данных'!$D$11),Климатология!$D$9:$BF$548,AQ7,0)</f>
        <v>-4.5</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759.5</v>
      </c>
      <c r="AU2" s="51">
        <f>VLOOKUP(CONCATENATE('Ввод исходных данных'!$D$10,'Ввод исходных данных'!$D$11),Климатология!$D$9:$BF$548,AU7,0)</f>
        <v>3.5</v>
      </c>
      <c r="AW2" s="51">
        <f>VLOOKUP(CONCATENATE('Ввод исходных данных'!$D$10,'Ввод исходных данных'!$D$11),Климатология!$D$9:$BF$548,AW7,0)</f>
        <v>30</v>
      </c>
      <c r="AX2" s="51">
        <f>VLOOKUP(CONCATENATE('Ввод исходных данных'!$D$10,'Ввод исходных данных'!$D$11),Климатология!$D$9:$BF$548,AX7,0)</f>
        <v>495</v>
      </c>
      <c r="AY2" s="51">
        <f>VLOOKUP(CONCATENATE('Ввод исходных данных'!$D$10,'Ввод исходных данных'!$D$11),Климатология!$D$9:$BF$548,AY7,0)</f>
        <v>10.6</v>
      </c>
      <c r="BA2" s="51">
        <f>VLOOKUP(CONCATENATE('Ввод исходных данных'!$D$10,'Ввод исходных данных'!$D$11),Климатология!$D$9:$BF$548,BA7,0)</f>
        <v>6.5</v>
      </c>
      <c r="BB2" s="51">
        <f>VLOOKUP(CONCATENATE('Ввод исходных данных'!$D$10,'Ввод исходных данных'!$D$11),Климатология!$D$9:$BF$548,BB7,0)</f>
        <v>61.1</v>
      </c>
      <c r="BC2" s="51">
        <f>VLOOKUP(CONCATENATE('Ввод исходных данных'!$D$10,'Ввод исходных данных'!$D$11),Климатология!$D$9:$BF$548,BC7,0)</f>
        <v>15.8</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Пермская областьПермь</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20" t="s">
        <v>720</v>
      </c>
      <c r="L6" s="2520"/>
      <c r="M6" s="2520"/>
      <c r="N6" s="2520"/>
      <c r="O6" s="2521" t="s">
        <v>721</v>
      </c>
      <c r="P6" s="2521"/>
      <c r="Q6" s="2521"/>
      <c r="R6" s="2521"/>
      <c r="S6" s="2522" t="s">
        <v>722</v>
      </c>
      <c r="T6" s="2522"/>
      <c r="U6" s="2522"/>
      <c r="V6" s="2522"/>
      <c r="W6" s="2526" t="s">
        <v>482</v>
      </c>
      <c r="X6" s="2526"/>
      <c r="Y6" s="2526"/>
      <c r="Z6" s="2526"/>
      <c r="AA6" s="2527" t="s">
        <v>486</v>
      </c>
      <c r="AB6" s="2527"/>
      <c r="AC6" s="2527"/>
      <c r="AD6" s="2527"/>
      <c r="AE6" s="2528" t="s">
        <v>487</v>
      </c>
      <c r="AF6" s="2528"/>
      <c r="AG6" s="2528"/>
      <c r="AH6" s="2528"/>
      <c r="AI6" s="2529" t="s">
        <v>488</v>
      </c>
      <c r="AJ6" s="2529"/>
      <c r="AK6" s="2529"/>
      <c r="AL6" s="2529"/>
      <c r="AM6" s="2530" t="s">
        <v>489</v>
      </c>
      <c r="AN6" s="2530"/>
      <c r="AO6" s="2530"/>
      <c r="AP6" s="2530"/>
      <c r="AQ6" s="2522" t="s">
        <v>490</v>
      </c>
      <c r="AR6" s="2522"/>
      <c r="AS6" s="2522"/>
      <c r="AT6" s="2522"/>
      <c r="AU6" s="2525" t="s">
        <v>491</v>
      </c>
      <c r="AV6" s="2525"/>
      <c r="AW6" s="2525"/>
      <c r="AX6" s="2525"/>
      <c r="AY6" s="2523" t="s">
        <v>724</v>
      </c>
      <c r="AZ6" s="2523"/>
      <c r="BA6" s="2523"/>
      <c r="BB6" s="2523"/>
      <c r="BC6" s="2524" t="s">
        <v>725</v>
      </c>
      <c r="BD6" s="2524"/>
      <c r="BE6" s="2524"/>
      <c r="BF6" s="2524"/>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1221</v>
      </c>
      <c r="C8" s="987" t="s">
        <v>457</v>
      </c>
      <c r="D8" s="988" t="s">
        <v>1339</v>
      </c>
      <c r="E8" s="988" t="s">
        <v>485</v>
      </c>
      <c r="F8" s="988" t="s">
        <v>751</v>
      </c>
      <c r="G8" s="988" t="s">
        <v>1467</v>
      </c>
      <c r="H8" s="989" t="s">
        <v>1501</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1988</v>
      </c>
      <c r="BH8" s="986" t="s">
        <v>1989</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1">
        <v>5389.5017857142902</v>
      </c>
      <c r="BH9" s="1421">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1">
        <v>5516.3607142857127</v>
      </c>
      <c r="BH10" s="1421">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1">
        <v>5500.8553571428538</v>
      </c>
      <c r="BH11" s="1421">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1">
        <v>5269.3167857142817</v>
      </c>
      <c r="BH12" s="1421">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1">
        <v>5501.9330952380906</v>
      </c>
      <c r="BH13" s="1421">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1">
        <v>5457.9892857142841</v>
      </c>
      <c r="BH14" s="1421">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1">
        <v>5591.8410714285701</v>
      </c>
      <c r="BH15" s="1421">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1" t="e">
        <v>#N/A</v>
      </c>
      <c r="BH16" s="1421"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1">
        <v>6889.7000000000007</v>
      </c>
      <c r="BH17" s="1421">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1">
        <v>6738.7249999999958</v>
      </c>
      <c r="BH18" s="1421">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1" t="e">
        <v>#N/A</v>
      </c>
      <c r="BH19" s="1421"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1">
        <v>8104.657142857136</v>
      </c>
      <c r="BH20" s="1421">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1">
        <v>6944.0124999999962</v>
      </c>
      <c r="BH21" s="1421">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1" t="e">
        <v>#N/A</v>
      </c>
      <c r="BH22" s="1421"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1" t="e">
        <v>#N/A</v>
      </c>
      <c r="BH23" s="1421"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1" t="e">
        <v>#N/A</v>
      </c>
      <c r="BH24" s="1421"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1">
        <v>7745.6642857142851</v>
      </c>
      <c r="BH25" s="1421">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1">
        <v>6789.6196428571448</v>
      </c>
      <c r="BH26" s="1421">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1">
        <v>7415.4803571428556</v>
      </c>
      <c r="BH27" s="1421">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1">
        <v>7719.5196428571453</v>
      </c>
      <c r="BH28" s="1421">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1" t="e">
        <v>#N/A</v>
      </c>
      <c r="BH29" s="1421"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1">
        <v>6735.5874999999969</v>
      </c>
      <c r="BH30" s="1421">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1">
        <v>7067.1119047619077</v>
      </c>
      <c r="BH31" s="1421">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1" t="e">
        <v>#N/A</v>
      </c>
      <c r="BH32" s="1421"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1">
        <v>7298.7964285714297</v>
      </c>
      <c r="BH33" s="1421">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1" t="e">
        <v>#N/A</v>
      </c>
      <c r="BH34" s="1421"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1">
        <v>8295.3250000000025</v>
      </c>
      <c r="BH35" s="1421">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1" t="e">
        <v>#N/A</v>
      </c>
      <c r="BH36" s="1421"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1">
        <v>8510.6857142857134</v>
      </c>
      <c r="BH37" s="1421">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1">
        <v>7347.9839285714324</v>
      </c>
      <c r="BH38" s="1421">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1">
        <v>7292.6964285714303</v>
      </c>
      <c r="BH39" s="1421">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1">
        <v>8556.3260714285771</v>
      </c>
      <c r="BH40" s="1421">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1">
        <v>5132.5374999999967</v>
      </c>
      <c r="BH41" s="1421">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1" t="e">
        <v>#N/A</v>
      </c>
      <c r="BH42" s="1421"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1">
        <v>5216.8053571428554</v>
      </c>
      <c r="BH43" s="1421">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1">
        <v>5978.3357142857167</v>
      </c>
      <c r="BH44" s="1421">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1">
        <v>5274.460119047616</v>
      </c>
      <c r="BH45" s="1421">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1">
        <v>5725.2071428571453</v>
      </c>
      <c r="BH46" s="1421">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1">
        <v>4955.1142857142831</v>
      </c>
      <c r="BH47" s="1421">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1">
        <v>3295.6482142857139</v>
      </c>
      <c r="BH48" s="1421">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1">
        <v>3739.6553571428562</v>
      </c>
      <c r="BH49" s="1421">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1" t="e">
        <v>#N/A</v>
      </c>
      <c r="BH50" s="1421"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1">
        <v>3921.3178571428543</v>
      </c>
      <c r="BH51" s="1421">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1">
        <v>4575.4517857142837</v>
      </c>
      <c r="BH52" s="1421">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1" t="e">
        <v>#N/A</v>
      </c>
      <c r="BH53" s="1421"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1" t="e">
        <v>#N/A</v>
      </c>
      <c r="BH54" s="1421"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1">
        <v>4012.766071428573</v>
      </c>
      <c r="BH55" s="1421">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1" t="e">
        <v>#N/A</v>
      </c>
      <c r="BH56" s="1421"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1">
        <v>3478.483928571427</v>
      </c>
      <c r="BH57" s="1421">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1">
        <v>3823.4821428571408</v>
      </c>
      <c r="BH58" s="1421">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1">
        <v>3865.7357142857127</v>
      </c>
      <c r="BH59" s="1421">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1">
        <v>4645.4583333333339</v>
      </c>
      <c r="BH60" s="1421">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1">
        <v>4902.0589285714304</v>
      </c>
      <c r="BH61" s="1421">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1">
        <v>4694.2000000000007</v>
      </c>
      <c r="BH62" s="1421">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1">
        <v>5115.2857142857183</v>
      </c>
      <c r="BH63" s="1421">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1">
        <v>5032.4339285714277</v>
      </c>
      <c r="BH64" s="1421">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1">
        <v>3829.3214285714298</v>
      </c>
      <c r="BH65" s="1421">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1">
        <v>6430.8339285714246</v>
      </c>
      <c r="BH66" s="1421">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1">
        <v>7063.0250000000005</v>
      </c>
      <c r="BH67" s="1421">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1">
        <v>6929.9249999999975</v>
      </c>
      <c r="BH68" s="1421">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1">
        <v>6781.3125</v>
      </c>
      <c r="BH69" s="1421">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1">
        <v>7706.6124999999993</v>
      </c>
      <c r="BH70" s="1421">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1">
        <v>7218.9732142857156</v>
      </c>
      <c r="BH71" s="1421">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1" t="e">
        <v>#N/A</v>
      </c>
      <c r="BH72" s="1421"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1" t="e">
        <v>#N/A</v>
      </c>
      <c r="BH73" s="1421"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1">
        <v>7187.7499999999964</v>
      </c>
      <c r="BH74" s="1421">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1">
        <v>8247.1750000000029</v>
      </c>
      <c r="BH75" s="1421">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1" t="e">
        <v>#N/A</v>
      </c>
      <c r="BH76" s="1421"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1">
        <v>7313.4999999999955</v>
      </c>
      <c r="BH77" s="1421">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1" t="e">
        <v>#N/A</v>
      </c>
      <c r="BH78" s="1421"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1">
        <v>8452.9</v>
      </c>
      <c r="BH79" s="1421">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1" t="e">
        <v>#N/A</v>
      </c>
      <c r="BH80" s="1421"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1">
        <v>8913.4767857142888</v>
      </c>
      <c r="BH81" s="1421">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1">
        <v>7001.7214285714308</v>
      </c>
      <c r="BH82" s="1421">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1">
        <v>4643.5428571428583</v>
      </c>
      <c r="BH83" s="1421">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1" t="e">
        <v>#N/A</v>
      </c>
      <c r="BH84" s="1421"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1" t="e">
        <v>#N/A</v>
      </c>
      <c r="BH85" s="1421"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1" t="e">
        <v>#N/A</v>
      </c>
      <c r="BH86" s="1421"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1">
        <v>6744.8428571428549</v>
      </c>
      <c r="BH87" s="1421">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1">
        <v>7032.6857142857152</v>
      </c>
      <c r="BH88" s="1421">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1" t="e">
        <v>#N/A</v>
      </c>
      <c r="BH89" s="1421"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1">
        <v>8623.9547619047607</v>
      </c>
      <c r="BH90" s="1421">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1">
        <v>7668.9232142857172</v>
      </c>
      <c r="BH91" s="1421">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1">
        <v>6935.35</v>
      </c>
      <c r="BH92" s="1421">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1">
        <v>8613.2071428571435</v>
      </c>
      <c r="BH93" s="1421">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1" t="e">
        <v>#N/A</v>
      </c>
      <c r="BH94" s="1421"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1">
        <v>6208.8303571428587</v>
      </c>
      <c r="BH95" s="1421">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1" t="e">
        <v>#N/A</v>
      </c>
      <c r="BH96" s="1421"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1">
        <v>7852.2660714285676</v>
      </c>
      <c r="BH97" s="1421">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1">
        <v>7903.0999999999976</v>
      </c>
      <c r="BH98" s="1421">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1" t="e">
        <v>#N/A</v>
      </c>
      <c r="BH99" s="1421"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1">
        <v>8691.0672619047655</v>
      </c>
      <c r="BH100" s="1421">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1" t="e">
        <v>#N/A</v>
      </c>
      <c r="BH101" s="1421"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1" t="e">
        <v>#N/A</v>
      </c>
      <c r="BH102" s="1421"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1">
        <v>7876.208333333333</v>
      </c>
      <c r="BH103" s="1421">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1" t="e">
        <v>#N/A</v>
      </c>
      <c r="BH104" s="1421"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1">
        <v>8369.5874999999996</v>
      </c>
      <c r="BH105" s="1421">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1" t="e">
        <v>#N/A</v>
      </c>
      <c r="BH106" s="1421"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1" t="e">
        <v>#N/A</v>
      </c>
      <c r="BH107" s="1421"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1">
        <v>6704.6696428571404</v>
      </c>
      <c r="BH108" s="1421">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1">
        <v>6845.496428571435</v>
      </c>
      <c r="BH109" s="1421">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1" t="e">
        <v>#N/A</v>
      </c>
      <c r="BH110" s="1421"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1">
        <v>3091.285714285716</v>
      </c>
      <c r="BH111" s="1421">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1">
        <v>3235.5785714285739</v>
      </c>
      <c r="BH112" s="1421">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1">
        <v>4061.9950284349638</v>
      </c>
      <c r="BH113" s="1421">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1">
        <v>6714.2065476190483</v>
      </c>
      <c r="BH114" s="1421">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1">
        <v>6575.7045238095234</v>
      </c>
      <c r="BH115" s="1421">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1">
        <v>6526.1285714285705</v>
      </c>
      <c r="BH116" s="1421">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1" t="e">
        <v>#N/A</v>
      </c>
      <c r="BH117" s="1421"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1" t="e">
        <v>#N/A</v>
      </c>
      <c r="BH118" s="1421"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1" t="e">
        <v>#N/A</v>
      </c>
      <c r="BH119" s="1421"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1">
        <v>6833.7732142857112</v>
      </c>
      <c r="BH120" s="1421">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1" t="e">
        <v>#N/A</v>
      </c>
      <c r="BH121" s="1421"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1" t="e">
        <v>#N/A</v>
      </c>
      <c r="BH122" s="1421"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1" t="e">
        <v>#N/A</v>
      </c>
      <c r="BH123" s="1421"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1" t="e">
        <v>#N/A</v>
      </c>
      <c r="BH124" s="1421"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1" t="e">
        <v>#N/A</v>
      </c>
      <c r="BH125" s="1421"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1">
        <v>5527.1410714285694</v>
      </c>
      <c r="BH126" s="1421">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1" t="e">
        <v>#N/A</v>
      </c>
      <c r="BH127" s="1421"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1">
        <v>6743.8428571428567</v>
      </c>
      <c r="BH128" s="1421">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1" t="e">
        <v>#N/A</v>
      </c>
      <c r="BH129" s="1421"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1">
        <v>7529.8566666666702</v>
      </c>
      <c r="BH130" s="1421">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1">
        <v>6834.9267857142877</v>
      </c>
      <c r="BH131" s="1421">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1">
        <v>6597.8767857142875</v>
      </c>
      <c r="BH132" s="1421">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1" t="e">
        <v>#N/A</v>
      </c>
      <c r="BH133" s="1421"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1">
        <v>5848.7339285714261</v>
      </c>
      <c r="BH134" s="1421">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1" t="e">
        <v>#N/A</v>
      </c>
      <c r="BH135" s="1421"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1" t="e">
        <v>#N/A</v>
      </c>
      <c r="BH136" s="1421"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1">
        <v>6315.4821428571449</v>
      </c>
      <c r="BH137" s="1421">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1" t="e">
        <v>#N/A</v>
      </c>
      <c r="BH138" s="1421"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1">
        <v>6373.4535714285694</v>
      </c>
      <c r="BH139" s="1421">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1" t="e">
        <v>#N/A</v>
      </c>
      <c r="BH140" s="1421"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1" t="e">
        <v>#N/A</v>
      </c>
      <c r="BH141" s="1421"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1">
        <v>5161.2000000000016</v>
      </c>
      <c r="BH142" s="1421">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1" t="e">
        <v>#N/A</v>
      </c>
      <c r="BH143" s="1421"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1">
        <v>4978.2660714285712</v>
      </c>
      <c r="BH144" s="1421">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1">
        <v>4698.1535714285728</v>
      </c>
      <c r="BH145" s="1421">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1" t="e">
        <v>#N/A</v>
      </c>
      <c r="BH146" s="1421"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1">
        <v>5072.0250000000024</v>
      </c>
      <c r="BH147" s="1421">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1">
        <v>2418.1339285714284</v>
      </c>
      <c r="BH148" s="1421">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1">
        <v>2305.5910714285715</v>
      </c>
      <c r="BH149" s="1421">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1">
        <v>2738.4607142857149</v>
      </c>
      <c r="BH150" s="1421">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1">
        <v>1533.5276182620755</v>
      </c>
      <c r="BH151" s="1421">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1">
        <v>3002.6642857142861</v>
      </c>
      <c r="BH152" s="1421">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1">
        <v>8093.2083333333321</v>
      </c>
      <c r="BH153" s="1421">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1">
        <v>6117.0375000000049</v>
      </c>
      <c r="BH154" s="1421">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1">
        <v>8439.0303571428576</v>
      </c>
      <c r="BH155" s="1421">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1">
        <v>6431.8410714285683</v>
      </c>
      <c r="BH156" s="1421">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1">
        <v>7293.2714285714283</v>
      </c>
      <c r="BH157" s="1421">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1">
        <v>8536.966071428571</v>
      </c>
      <c r="BH158" s="1421">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1">
        <v>8174.6071428571422</v>
      </c>
      <c r="BH159" s="1421">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1">
        <v>7758.7946428571431</v>
      </c>
      <c r="BH160" s="1421">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1" t="e">
        <v>#N/A</v>
      </c>
      <c r="BH161" s="1421"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1">
        <v>9505.5035714285696</v>
      </c>
      <c r="BH162" s="1421">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1">
        <v>8987.2420238095256</v>
      </c>
      <c r="BH163" s="1421">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1">
        <v>6946.9928571428572</v>
      </c>
      <c r="BH164" s="1421">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1" t="e">
        <v>#N/A</v>
      </c>
      <c r="BH165" s="1421"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1">
        <v>8773.7696428571453</v>
      </c>
      <c r="BH166" s="1421">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1">
        <v>6986.8500000000013</v>
      </c>
      <c r="BH167" s="1421">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1" t="e">
        <v>#N/A</v>
      </c>
      <c r="BH168" s="1421"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1">
        <v>6598.2876190476236</v>
      </c>
      <c r="BH169" s="1421">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1" t="e">
        <v>#N/A</v>
      </c>
      <c r="BH170" s="1421"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1">
        <v>6339.9321428571411</v>
      </c>
      <c r="BH171" s="1421">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1">
        <v>8745.3828571428585</v>
      </c>
      <c r="BH172" s="1421">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1">
        <v>6679.8571428571422</v>
      </c>
      <c r="BH173" s="1421">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1">
        <v>9166.3250000000025</v>
      </c>
      <c r="BH174" s="1421">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1">
        <v>8223.182142857142</v>
      </c>
      <c r="BH175" s="1421">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1">
        <v>10631.052857142859</v>
      </c>
      <c r="BH176" s="1421">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1">
        <v>11024.548452380948</v>
      </c>
      <c r="BH177" s="1421">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1">
        <v>7583.0232142857121</v>
      </c>
      <c r="BH178" s="1421">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1">
        <v>5465.3892857142873</v>
      </c>
      <c r="BH179" s="1421">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1">
        <v>3933.1839285714286</v>
      </c>
      <c r="BH180" s="1421">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1">
        <v>4711.8767857142875</v>
      </c>
      <c r="BH181" s="1421">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1">
        <v>4556.2339285714297</v>
      </c>
      <c r="BH182" s="1421">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1">
        <v>4118.3857142857141</v>
      </c>
      <c r="BH183" s="1421">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1" t="e">
        <v>#N/A</v>
      </c>
      <c r="BH184" s="1421"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1">
        <v>7915.7107142857139</v>
      </c>
      <c r="BH185" s="1421">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1">
        <v>7082.3089285714368</v>
      </c>
      <c r="BH186" s="1421">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1">
        <v>9700.813571428569</v>
      </c>
      <c r="BH187" s="1421">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1" t="e">
        <v>#N/A</v>
      </c>
      <c r="BH188" s="1421"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1">
        <v>9509.832142857138</v>
      </c>
      <c r="BH189" s="1421">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1">
        <v>10573.308928571423</v>
      </c>
      <c r="BH190" s="1421">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1">
        <v>4253.9785714285717</v>
      </c>
      <c r="BH191" s="1421">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1" t="e">
        <v>#N/A</v>
      </c>
      <c r="BH192" s="1421"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1">
        <v>4421.801785714285</v>
      </c>
      <c r="BH193" s="1421">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1">
        <v>5021.2723809523795</v>
      </c>
      <c r="BH194" s="1421">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1">
        <v>5379.9982142857143</v>
      </c>
      <c r="BH195" s="1421">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1" t="e">
        <v>#N/A</v>
      </c>
      <c r="BH196" s="1421"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1">
        <v>5991.1625000000004</v>
      </c>
      <c r="BH197" s="1421">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1">
        <v>6196.0000000000009</v>
      </c>
      <c r="BH198" s="1421">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1">
        <v>5911.9933333333347</v>
      </c>
      <c r="BH199" s="1421">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1">
        <v>5525.4535714285685</v>
      </c>
      <c r="BH200" s="1421">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1" t="e">
        <v>#N/A</v>
      </c>
      <c r="BH201" s="1421"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1" t="e">
        <v>#N/A</v>
      </c>
      <c r="BH202" s="1421"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1">
        <v>5623.99</v>
      </c>
      <c r="BH203" s="1421">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1">
        <v>5318.9699999999966</v>
      </c>
      <c r="BH204" s="1421">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1" t="e">
        <v>#N/A</v>
      </c>
      <c r="BH205" s="1421"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1">
        <v>5186.814285714283</v>
      </c>
      <c r="BH206" s="1421">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1" t="e">
        <v>#N/A</v>
      </c>
      <c r="BH207" s="1421"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1">
        <v>7196.4589285714346</v>
      </c>
      <c r="BH208" s="1421">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1">
        <v>6526.0517857142822</v>
      </c>
      <c r="BH209" s="1421">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1">
        <v>5616.0605952380911</v>
      </c>
      <c r="BH210" s="1421">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1" t="e">
        <v>#N/A</v>
      </c>
      <c r="BH211" s="1421"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1">
        <v>6623.6803571428563</v>
      </c>
      <c r="BH212" s="1421">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1">
        <v>6911.0641666666697</v>
      </c>
      <c r="BH213" s="1421">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1" t="e">
        <v>#N/A</v>
      </c>
      <c r="BH214" s="1421"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1">
        <v>4539.9767857142861</v>
      </c>
      <c r="BH215" s="1421">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1">
        <v>4408.7232142857119</v>
      </c>
      <c r="BH216" s="1421">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1">
        <v>4570.3517857142851</v>
      </c>
      <c r="BH217" s="1421">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1">
        <v>4470.7125000000005</v>
      </c>
      <c r="BH218" s="1421">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1">
        <v>4374.0589285714304</v>
      </c>
      <c r="BH219" s="1421">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1">
        <v>5916.0125000000025</v>
      </c>
      <c r="BH220" s="1421">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1" t="e">
        <v>#N/A</v>
      </c>
      <c r="BH221" s="1421"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1">
        <v>5647.966071428571</v>
      </c>
      <c r="BH222" s="1421">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1">
        <v>5846.9160714285745</v>
      </c>
      <c r="BH223" s="1421">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1">
        <v>5852.6964285714294</v>
      </c>
      <c r="BH224" s="1421">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1">
        <v>6059.9482142857178</v>
      </c>
      <c r="BH225" s="1421">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1" t="e">
        <v>#N/A</v>
      </c>
      <c r="BH226" s="1421"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1">
        <v>5846.2303571428574</v>
      </c>
      <c r="BH227" s="1421">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1">
        <v>5895.3357142857167</v>
      </c>
      <c r="BH228" s="1421">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1" t="e">
        <v>#N/A</v>
      </c>
      <c r="BH229" s="1421"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1">
        <v>5741.408928571429</v>
      </c>
      <c r="BH230" s="1421">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1">
        <v>5979.8875000000025</v>
      </c>
      <c r="BH231" s="1421">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1">
        <v>5727.3857142857159</v>
      </c>
      <c r="BH232" s="1421">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1" t="e">
        <v>#N/A</v>
      </c>
      <c r="BH233" s="1421"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1">
        <v>4608.5517857142895</v>
      </c>
      <c r="BH234" s="1421">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1">
        <v>4567.267857142856</v>
      </c>
      <c r="BH235" s="1421">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1">
        <v>3957.1642857142856</v>
      </c>
      <c r="BH236" s="1421">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1">
        <v>4218.9053571428576</v>
      </c>
      <c r="BH237" s="1421">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1">
        <v>4236.1232142857134</v>
      </c>
      <c r="BH238" s="1421">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1">
        <v>6578.3767857142884</v>
      </c>
      <c r="BH239" s="1421">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1">
        <v>5242.9553571428596</v>
      </c>
      <c r="BH240" s="1421">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1">
        <v>5507.4178571428565</v>
      </c>
      <c r="BH241" s="1421">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1">
        <v>5885.8821428571455</v>
      </c>
      <c r="BH242" s="1421">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1">
        <v>6262.8607142857172</v>
      </c>
      <c r="BH243" s="1421">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1">
        <v>5536.9500000000044</v>
      </c>
      <c r="BH244" s="1421">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1">
        <v>5341.0624999999982</v>
      </c>
      <c r="BH245" s="1421">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1" t="e">
        <v>#N/A</v>
      </c>
      <c r="BH246" s="1421"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1">
        <v>4597.3875000000007</v>
      </c>
      <c r="BH247" s="1421">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1">
        <v>5765.1124999999984</v>
      </c>
      <c r="BH248" s="1421">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1">
        <v>5614.8375000000024</v>
      </c>
      <c r="BH249" s="1421">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1">
        <v>6394.4464285714312</v>
      </c>
      <c r="BH250" s="1421">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1" t="e">
        <v>#N/A</v>
      </c>
      <c r="BH251" s="1421"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1" t="e">
        <v>#N/A</v>
      </c>
      <c r="BH252" s="1421"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1">
        <v>4653.8375000000024</v>
      </c>
      <c r="BH253" s="1421">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1">
        <v>4190.9589285714283</v>
      </c>
      <c r="BH254" s="1421">
        <v>3909.6708333333336</v>
      </c>
    </row>
    <row r="255" spans="2:60" ht="15.75" customHeight="1" x14ac:dyDescent="0.25">
      <c r="B255" s="1014" t="s">
        <v>254</v>
      </c>
      <c r="C255" s="1014" t="s">
        <v>1552</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1">
        <v>4256.2071428571426</v>
      </c>
      <c r="BH255" s="1421">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1">
        <v>5074.3642857142868</v>
      </c>
      <c r="BH256" s="1421">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1">
        <v>5655.6625000000004</v>
      </c>
      <c r="BH257" s="1421">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1">
        <v>5944.5689285714288</v>
      </c>
      <c r="BH258" s="1421">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1">
        <v>4276.3874999999998</v>
      </c>
      <c r="BH259" s="1421">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1">
        <v>4215.7249999999995</v>
      </c>
      <c r="BH260" s="1421">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1">
        <v>2649.4250000000006</v>
      </c>
      <c r="BH261" s="1421">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1">
        <v>4822.4107142857147</v>
      </c>
      <c r="BH262" s="1421">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1" t="e">
        <v>#N/A</v>
      </c>
      <c r="BH263" s="1421"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1">
        <v>8222.1892857142848</v>
      </c>
      <c r="BH264" s="1421">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1" t="e">
        <v>#N/A</v>
      </c>
      <c r="BH265" s="1421"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1" t="e">
        <v>#N/A</v>
      </c>
      <c r="BH266" s="1421"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1" t="e">
        <v>#N/A</v>
      </c>
      <c r="BH267" s="1421"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1" t="e">
        <v>#N/A</v>
      </c>
      <c r="BH268" s="1421"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1">
        <v>4803.5642857142875</v>
      </c>
      <c r="BH269" s="1421">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1" t="e">
        <v>#N/A</v>
      </c>
      <c r="BH270" s="1421"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1">
        <v>5873.1982142857141</v>
      </c>
      <c r="BH271" s="1421">
        <v>5725.0874999999996</v>
      </c>
    </row>
    <row r="272" spans="2:60" ht="15.75" customHeight="1" x14ac:dyDescent="0.25">
      <c r="B272" s="1038" t="s">
        <v>275</v>
      </c>
      <c r="C272" s="1038" t="s">
        <v>1551</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1">
        <v>8446.6714285714297</v>
      </c>
      <c r="BH272" s="1421">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1">
        <v>7213.332142857138</v>
      </c>
      <c r="BH273" s="1421">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1">
        <v>6458.9714285714244</v>
      </c>
      <c r="BH274" s="1421">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1">
        <v>7047.9934523809516</v>
      </c>
      <c r="BH275" s="1421">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1">
        <v>7184.476785714287</v>
      </c>
      <c r="BH276" s="1421">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1">
        <v>7592.3874999999998</v>
      </c>
      <c r="BH277" s="1421">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1">
        <v>8567.8549999999996</v>
      </c>
      <c r="BH278" s="1421">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1">
        <v>6685.3696428571402</v>
      </c>
      <c r="BH279" s="1421">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1">
        <v>7163.4382142857139</v>
      </c>
      <c r="BH280" s="1421">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1">
        <v>2246.0374999999999</v>
      </c>
      <c r="BH281" s="1421">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1">
        <v>2527.0930555555565</v>
      </c>
      <c r="BH282" s="1421">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1" t="e">
        <v>#N/A</v>
      </c>
      <c r="BH283" s="1421"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1">
        <v>3088.8660714285697</v>
      </c>
      <c r="BH284" s="1421">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1" t="e">
        <v>#N/A</v>
      </c>
      <c r="BH285" s="1421"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1" t="e">
        <v>#N/A</v>
      </c>
      <c r="BH286" s="1421"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1">
        <v>3478.9857142857131</v>
      </c>
      <c r="BH287" s="1421">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1">
        <v>5075.1999999999989</v>
      </c>
      <c r="BH288" s="1421">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1">
        <v>5392.5897619047628</v>
      </c>
      <c r="BH289" s="1421">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1">
        <v>4677.5849999999991</v>
      </c>
      <c r="BH290" s="1421">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1">
        <v>5109.4642857142871</v>
      </c>
      <c r="BH291" s="1421">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1">
        <v>4811.1285714285714</v>
      </c>
      <c r="BH292" s="1421">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1">
        <v>5024.641071428573</v>
      </c>
      <c r="BH293" s="1421">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1">
        <v>4704.0017857142848</v>
      </c>
      <c r="BH294" s="1421">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1">
        <v>5916.7019047619096</v>
      </c>
      <c r="BH295" s="1421">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1">
        <v>7686.3214285714284</v>
      </c>
      <c r="BH296" s="1421">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1">
        <v>5326.149999999996</v>
      </c>
      <c r="BH297" s="1421">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1">
        <v>6637.0678571428552</v>
      </c>
      <c r="BH298" s="1421">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1">
        <v>6516.1660714285726</v>
      </c>
      <c r="BH299" s="1421">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1">
        <v>5764.9035714285719</v>
      </c>
      <c r="BH300" s="1421">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1">
        <v>6306.3976190476196</v>
      </c>
      <c r="BH301" s="1421">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1">
        <v>6573.25</v>
      </c>
      <c r="BH302" s="1421">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1">
        <v>6167.7892857142879</v>
      </c>
      <c r="BH303" s="1421">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1">
        <v>6462.9783333333316</v>
      </c>
      <c r="BH304" s="1421">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1">
        <v>6200.9089285714281</v>
      </c>
      <c r="BH305" s="1421">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1">
        <v>4900.3089285714277</v>
      </c>
      <c r="BH306" s="1421">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1">
        <v>4430.0303571428576</v>
      </c>
      <c r="BH307" s="1421">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1">
        <v>8445.6892857142848</v>
      </c>
      <c r="BH308" s="1421">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1" t="e">
        <v>#N/A</v>
      </c>
      <c r="BH309" s="1421"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1">
        <v>10151.825000000004</v>
      </c>
      <c r="BH310" s="1421">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1">
        <v>10084.751785714296</v>
      </c>
      <c r="BH311" s="1421">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1">
        <v>9859.0589285714268</v>
      </c>
      <c r="BH312" s="1421">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1">
        <v>9420.5910714285783</v>
      </c>
      <c r="BH313" s="1421">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1">
        <v>11158.464285714288</v>
      </c>
      <c r="BH314" s="1421">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1">
        <v>9286.2803571428522</v>
      </c>
      <c r="BH315" s="1421">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1">
        <v>8077.3339285714283</v>
      </c>
      <c r="BH316" s="1421">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1" t="e">
        <v>#N/A</v>
      </c>
      <c r="BH317" s="1421"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1">
        <v>7711.353571428569</v>
      </c>
      <c r="BH318" s="1421">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1" t="e">
        <v>#N/A</v>
      </c>
      <c r="BH319" s="1421"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1">
        <v>8746.9428571428562</v>
      </c>
      <c r="BH320" s="1421">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1" t="e">
        <v>#N/A</v>
      </c>
      <c r="BH321" s="1421"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1" t="e">
        <v>#N/A</v>
      </c>
      <c r="BH322" s="1421"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1">
        <v>10186.467857142856</v>
      </c>
      <c r="BH323" s="1421">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1">
        <v>9767.039285714287</v>
      </c>
      <c r="BH324" s="1421">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1">
        <v>9009.748214285717</v>
      </c>
      <c r="BH325" s="1421">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1">
        <v>12160.748214285715</v>
      </c>
      <c r="BH326" s="1421">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1">
        <v>10242.390714285722</v>
      </c>
      <c r="BH327" s="1421">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1">
        <v>11085.580952380949</v>
      </c>
      <c r="BH328" s="1421">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1">
        <v>8367.9803571428583</v>
      </c>
      <c r="BH329" s="1421">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1">
        <v>8936.1977380952394</v>
      </c>
      <c r="BH330" s="1421">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1" t="e">
        <v>#N/A</v>
      </c>
      <c r="BH331" s="1421"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1">
        <v>9257.8892857142855</v>
      </c>
      <c r="BH332" s="1421">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1" t="e">
        <v>#N/A</v>
      </c>
      <c r="BH333" s="1421"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1">
        <v>11826.441071428575</v>
      </c>
      <c r="BH334" s="1421">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1">
        <v>8691.594642857146</v>
      </c>
      <c r="BH335" s="1421">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1">
        <v>10224.508928571437</v>
      </c>
      <c r="BH336" s="1421">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1">
        <v>10475.398214285717</v>
      </c>
      <c r="BH337" s="1421">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1">
        <v>9846.9035714285674</v>
      </c>
      <c r="BH338" s="1421">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1">
        <v>11194.501785714281</v>
      </c>
      <c r="BH339" s="1421">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1">
        <v>9576.7541666666657</v>
      </c>
      <c r="BH340" s="1421">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1">
        <v>8864.6910714285768</v>
      </c>
      <c r="BH341" s="1421">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1">
        <v>10633.334047619059</v>
      </c>
      <c r="BH342" s="1421">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1">
        <v>8733.3892857142873</v>
      </c>
      <c r="BH343" s="1421">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1" t="e">
        <v>#N/A</v>
      </c>
      <c r="BH344" s="1421"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1">
        <v>10159.596428571431</v>
      </c>
      <c r="BH345" s="1421">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1">
        <v>9078.5250000000015</v>
      </c>
      <c r="BH346" s="1421">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1">
        <v>11177.810714285721</v>
      </c>
      <c r="BH347" s="1421">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1" t="e">
        <v>#N/A</v>
      </c>
      <c r="BH348" s="1421"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1">
        <v>8883.7839285714326</v>
      </c>
      <c r="BH349" s="1421">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1">
        <v>9906.2607142857159</v>
      </c>
      <c r="BH350" s="1421">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1">
        <v>9501.0285714285728</v>
      </c>
      <c r="BH351" s="1421">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1">
        <v>10643.894642857142</v>
      </c>
      <c r="BH352" s="1421">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1">
        <v>8940.9660714285692</v>
      </c>
      <c r="BH353" s="1421">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1">
        <v>10074.414285714283</v>
      </c>
      <c r="BH354" s="1421">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1">
        <v>10374.060238095242</v>
      </c>
      <c r="BH355" s="1421">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1">
        <v>10106.408928571422</v>
      </c>
      <c r="BH356" s="1421">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1">
        <v>9492.3732142857098</v>
      </c>
      <c r="BH357" s="1421">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1">
        <v>3082.9249999999988</v>
      </c>
      <c r="BH358" s="1421">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1">
        <v>4976.8982142857103</v>
      </c>
      <c r="BH359" s="1421">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1">
        <v>4716.9732142857156</v>
      </c>
      <c r="BH360" s="1421">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1">
        <v>4694.1874999999982</v>
      </c>
      <c r="BH361" s="1421">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1">
        <v>6992.2214285714272</v>
      </c>
      <c r="BH362" s="1421">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1">
        <v>5852.7408187863757</v>
      </c>
      <c r="BH363" s="1421">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1" t="e">
        <v>#N/A</v>
      </c>
      <c r="BH364" s="1421"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1">
        <v>3606.6749999999997</v>
      </c>
      <c r="BH365" s="1421">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1" t="e">
        <v>#N/A</v>
      </c>
      <c r="BH366" s="1421" t="e">
        <v>#N/A</v>
      </c>
    </row>
    <row r="367" spans="2:60" ht="15.75" customHeight="1" x14ac:dyDescent="0.25">
      <c r="B367" s="1014" t="s">
        <v>291</v>
      </c>
      <c r="C367" s="1014" t="s">
        <v>1518</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1">
        <v>3221.5857142857153</v>
      </c>
      <c r="BH367" s="1421">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1">
        <v>4342.6553571428549</v>
      </c>
      <c r="BH368" s="1421">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1">
        <v>4415.8535714285726</v>
      </c>
      <c r="BH369" s="1421">
        <v>4661.3625000000002</v>
      </c>
    </row>
    <row r="370" spans="1:60" ht="15.75" customHeight="1" x14ac:dyDescent="0.25">
      <c r="B370" s="1038" t="s">
        <v>624</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1">
        <v>4202.7553571428562</v>
      </c>
      <c r="BH370" s="1421">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1">
        <v>4163.9071428571406</v>
      </c>
      <c r="BH371" s="1421">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1">
        <v>4019.3196428571441</v>
      </c>
      <c r="BH372" s="1421">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1" t="e">
        <v>#N/A</v>
      </c>
      <c r="BH373" s="1421"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1">
        <v>6208.1339285714275</v>
      </c>
      <c r="BH374" s="1421">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1" t="e">
        <v>#N/A</v>
      </c>
      <c r="BH375" s="1421"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1" t="e">
        <v>#N/A</v>
      </c>
      <c r="BH376" s="1421"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1" t="e">
        <v>#N/A</v>
      </c>
      <c r="BH377" s="1421"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1" t="e">
        <v>#N/A</v>
      </c>
      <c r="BH378" s="1421"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1" t="e">
        <v>#N/A</v>
      </c>
      <c r="BH379" s="1421"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1" t="e">
        <v>#N/A</v>
      </c>
      <c r="BH380" s="1421"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1">
        <v>6969.2785714285692</v>
      </c>
      <c r="BH381" s="1421">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1">
        <v>7335.910714285711</v>
      </c>
      <c r="BH382" s="1421">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1">
        <v>6999.7749999999978</v>
      </c>
      <c r="BH383" s="1421">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1">
        <v>6538.4571428571435</v>
      </c>
      <c r="BH384" s="1421">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1" t="e">
        <v>#N/A</v>
      </c>
      <c r="BH385" s="1421"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1">
        <v>4941.1000000000004</v>
      </c>
      <c r="BH386" s="1421">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1">
        <v>4523.8464285714308</v>
      </c>
      <c r="BH387" s="1421">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1">
        <v>5559.8964285714292</v>
      </c>
      <c r="BH388" s="1421">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1">
        <v>6134.1946428571446</v>
      </c>
      <c r="BH389" s="1421">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1">
        <v>5228.3767857142875</v>
      </c>
      <c r="BH390" s="1421">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1">
        <v>6452.2375000000011</v>
      </c>
      <c r="BH391" s="1421">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1" t="e">
        <v>#N/A</v>
      </c>
      <c r="BH392" s="1421"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1">
        <v>5954.6732142857136</v>
      </c>
      <c r="BH393" s="1421">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1">
        <v>5750.9017857142871</v>
      </c>
      <c r="BH394" s="1421">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1">
        <v>4363.5410714285672</v>
      </c>
      <c r="BH395" s="1421">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1">
        <v>4064.635714285715</v>
      </c>
      <c r="BH396" s="1421">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1" t="e">
        <v>#N/A</v>
      </c>
      <c r="BH397" s="1421"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1" t="e">
        <v>#N/A</v>
      </c>
      <c r="BH398" s="1421"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1">
        <v>3164.7696428571439</v>
      </c>
      <c r="BH399" s="1421">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1">
        <v>3124.6696428571418</v>
      </c>
      <c r="BH400" s="1421">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1">
        <v>3218.8178571428566</v>
      </c>
      <c r="BH401" s="1421">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1">
        <v>4074.1267857142848</v>
      </c>
      <c r="BH402" s="1421">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1" t="e">
        <v>#N/A</v>
      </c>
      <c r="BH403" s="1421"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1">
        <v>4565.9982142857152</v>
      </c>
      <c r="BH404" s="1421">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1">
        <v>4500.1285714285641</v>
      </c>
      <c r="BH405" s="1421">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1">
        <v>6959.5000000000045</v>
      </c>
      <c r="BH406" s="1421">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1">
        <v>6742.8035714285706</v>
      </c>
      <c r="BH407" s="1421">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1">
        <v>6701.3910714285721</v>
      </c>
      <c r="BH408" s="1421">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1">
        <v>6292.9410714285705</v>
      </c>
      <c r="BH409" s="1421">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1" t="e">
        <v>#N/A</v>
      </c>
      <c r="BH410" s="1421"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1">
        <v>4339.966071428571</v>
      </c>
      <c r="BH411" s="1421">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1">
        <v>6460.9875000000002</v>
      </c>
      <c r="BH412" s="1421">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1">
        <v>6300.7392857142841</v>
      </c>
      <c r="BH413" s="1421">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1">
        <v>7847.3795238095227</v>
      </c>
      <c r="BH414" s="1421">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1" t="e">
        <v>#N/A</v>
      </c>
      <c r="BH415" s="1421"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1">
        <v>6875.9624999999969</v>
      </c>
      <c r="BH416" s="1421">
        <v>6974.8392857142844</v>
      </c>
    </row>
    <row r="417" spans="2:60" ht="15.75" customHeight="1" x14ac:dyDescent="0.25">
      <c r="B417" s="1014" t="s">
        <v>396</v>
      </c>
      <c r="C417" s="1014" t="s">
        <v>1519</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1">
        <v>6019.5660714285741</v>
      </c>
      <c r="BH417" s="1421">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1">
        <v>5820.9874999999984</v>
      </c>
      <c r="BH418" s="1421">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1">
        <v>6880.3321428571417</v>
      </c>
      <c r="BH419" s="1421">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1">
        <v>5384.546428571427</v>
      </c>
      <c r="BH420" s="1421">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1">
        <v>5216.1053571428556</v>
      </c>
      <c r="BH421" s="1421">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1">
        <v>4918.3767857142848</v>
      </c>
      <c r="BH422" s="1421">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1">
        <v>4562.8375000000005</v>
      </c>
      <c r="BH423" s="1421">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1">
        <v>4653.3839285714257</v>
      </c>
      <c r="BH424" s="1421">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1">
        <v>7606.1559523809547</v>
      </c>
      <c r="BH425" s="1421">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1" t="e">
        <v>#N/A</v>
      </c>
      <c r="BH426" s="1421"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1">
        <v>5989.5375000000022</v>
      </c>
      <c r="BH427" s="1421">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1" t="e">
        <v>#N/A</v>
      </c>
      <c r="BH428" s="1421"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1" t="e">
        <v>#N/A</v>
      </c>
      <c r="BH429" s="1421"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1">
        <v>6623.7249999999985</v>
      </c>
      <c r="BH430" s="1421">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1">
        <v>5979.2571428571455</v>
      </c>
      <c r="BH431" s="1421">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1" t="e">
        <v>#N/A</v>
      </c>
      <c r="BH432" s="1421"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1" t="e">
        <v>#N/A</v>
      </c>
      <c r="BH433" s="1421"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1">
        <v>6139.849404761906</v>
      </c>
      <c r="BH434" s="1421">
        <v>5683.3964285714292</v>
      </c>
    </row>
    <row r="435" spans="2:60" ht="15.75" customHeight="1" x14ac:dyDescent="0.25">
      <c r="B435" s="1014" t="s">
        <v>121</v>
      </c>
      <c r="C435" s="1014" t="s">
        <v>910</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1">
        <v>7341.3678571428572</v>
      </c>
      <c r="BH435" s="1421">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1">
        <v>6924.2821428571424</v>
      </c>
      <c r="BH436" s="1421">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1" t="e">
        <v>#N/A</v>
      </c>
      <c r="BH437" s="1421"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1">
        <v>7482.2732142857158</v>
      </c>
      <c r="BH438" s="1421">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1">
        <v>7663.1875000000018</v>
      </c>
      <c r="BH439" s="1421">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1" t="e">
        <v>#N/A</v>
      </c>
      <c r="BH440" s="1421"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1" t="e">
        <v>#N/A</v>
      </c>
      <c r="BH441" s="1421"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1" t="e">
        <v>#N/A</v>
      </c>
      <c r="BH442" s="1421"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1" t="e">
        <v>#N/A</v>
      </c>
      <c r="BH443" s="1421"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1">
        <v>6372.0464285714243</v>
      </c>
      <c r="BH444" s="1421">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1">
        <v>6191.8887692076323</v>
      </c>
      <c r="BH445" s="1421">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1" t="e">
        <v>#N/A</v>
      </c>
      <c r="BH446" s="1421"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1" t="e">
        <v>#N/A</v>
      </c>
      <c r="BH447" s="1421"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1">
        <v>7024.6035714285763</v>
      </c>
      <c r="BH448" s="1421">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1" t="e">
        <v>#N/A</v>
      </c>
      <c r="BH449" s="1421"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1">
        <v>6911.3575000000001</v>
      </c>
      <c r="BH450" s="1421">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1">
        <v>6737.4428571428543</v>
      </c>
      <c r="BH451" s="1421">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1" t="e">
        <v>#N/A</v>
      </c>
      <c r="BH452" s="1421"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1" t="e">
        <v>#N/A</v>
      </c>
      <c r="BH453" s="1421"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1">
        <v>5318.5392857142842</v>
      </c>
      <c r="BH454" s="1421">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1">
        <v>3078.9178571428565</v>
      </c>
      <c r="BH455" s="1421">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1">
        <v>4634.6517857142853</v>
      </c>
      <c r="BH456" s="1421">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1" t="e">
        <v>#N/A</v>
      </c>
      <c r="BH457" s="1421"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1">
        <v>7949.7125000000005</v>
      </c>
      <c r="BH458" s="1421">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1" t="e">
        <v>#N/A</v>
      </c>
      <c r="BH459" s="1421"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1">
        <v>8275.8964285714246</v>
      </c>
      <c r="BH460" s="1421">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1">
        <v>9903.1660714285717</v>
      </c>
      <c r="BH461" s="1421">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1">
        <v>9220.1251190476196</v>
      </c>
      <c r="BH462" s="1421">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1" t="e">
        <v>#N/A</v>
      </c>
      <c r="BH463" s="1421"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1" t="e">
        <v>#N/A</v>
      </c>
      <c r="BH464" s="1421"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1">
        <v>7598.3482142857147</v>
      </c>
      <c r="BH465" s="1421">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1">
        <v>7756.8785714285723</v>
      </c>
      <c r="BH466" s="1421">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1">
        <v>7864.3964285714319</v>
      </c>
      <c r="BH467" s="1421">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1">
        <v>8140.530238095238</v>
      </c>
      <c r="BH468" s="1421">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1">
        <v>4320.541053854613</v>
      </c>
      <c r="BH469" s="1421">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1">
        <v>4033.8642857142831</v>
      </c>
      <c r="BH470" s="1421">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1" t="e">
        <v>#N/A</v>
      </c>
      <c r="BH471" s="1421"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1" t="e">
        <v>#N/A</v>
      </c>
      <c r="BH472" s="1421"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1" t="e">
        <v>#N/A</v>
      </c>
      <c r="BH473" s="1421"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1" t="e">
        <v>#N/A</v>
      </c>
      <c r="BH474" s="1421"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1" t="e">
        <v>#N/A</v>
      </c>
      <c r="BH475" s="1421"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1"/>
      <c r="BH476" s="1421"/>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1"/>
      <c r="BH477" s="1421"/>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1"/>
      <c r="BH478" s="1421"/>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1"/>
      <c r="BH479" s="1421"/>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1"/>
      <c r="BH480" s="1421"/>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1"/>
      <c r="BH481" s="1421"/>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1"/>
      <c r="BH482" s="1421"/>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1"/>
      <c r="BH483" s="1421"/>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1"/>
      <c r="BH484" s="1421"/>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1"/>
      <c r="BH485" s="1421"/>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1"/>
      <c r="BH486" s="1421"/>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1"/>
      <c r="BH487" s="1421"/>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1"/>
      <c r="BH488" s="1421"/>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1"/>
      <c r="BH489" s="1421"/>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1"/>
      <c r="BH490" s="1421"/>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1"/>
      <c r="BH491" s="1421"/>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1"/>
      <c r="BH492" s="1421"/>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1"/>
      <c r="BH493" s="1421"/>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1"/>
      <c r="BH494" s="1421"/>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1"/>
      <c r="BH495" s="1421"/>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1"/>
      <c r="BH496" s="1421"/>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1"/>
      <c r="BH497" s="1421"/>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1"/>
      <c r="BH498" s="1421"/>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1"/>
      <c r="BH499" s="1421"/>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1"/>
      <c r="BH500" s="1421"/>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1"/>
      <c r="BH501" s="1421"/>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1"/>
      <c r="BH502" s="1421"/>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1"/>
      <c r="BH503" s="1421"/>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1"/>
      <c r="BH504" s="1421"/>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1"/>
      <c r="BH505" s="1421"/>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1"/>
      <c r="BH506" s="1421"/>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1"/>
      <c r="BH507" s="1421"/>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1"/>
      <c r="BH508" s="1421"/>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1"/>
      <c r="BH509" s="1421"/>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1"/>
      <c r="BH510" s="1421"/>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1"/>
      <c r="BH511" s="1421"/>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1"/>
      <c r="BH512" s="1421"/>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1"/>
      <c r="BH513" s="1421"/>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1"/>
      <c r="BH514" s="1421"/>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1"/>
      <c r="BH515" s="1421"/>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1"/>
      <c r="BH516" s="1421"/>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1"/>
      <c r="BH517" s="1421"/>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1"/>
      <c r="BH518" s="1421"/>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1"/>
      <c r="BH519" s="1421"/>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1"/>
      <c r="BH520" s="1421"/>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1"/>
      <c r="BH521" s="1421"/>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1"/>
      <c r="BH522" s="1421"/>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1"/>
      <c r="BH523" s="1421"/>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1"/>
      <c r="BH524" s="1421"/>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1"/>
      <c r="BH525" s="1421"/>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1"/>
      <c r="BH526" s="1421"/>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1"/>
      <c r="BH527" s="1421"/>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1"/>
      <c r="BH528" s="1421"/>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1"/>
      <c r="BH529" s="1421"/>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1"/>
      <c r="BH530" s="1421"/>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1"/>
      <c r="BH531" s="1421"/>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1"/>
      <c r="BH532" s="1421"/>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1"/>
      <c r="BH533" s="1421"/>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1"/>
      <c r="BH534" s="1421"/>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1"/>
      <c r="BH535" s="1421"/>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1"/>
      <c r="BH536" s="1421"/>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1"/>
      <c r="BH537" s="1421"/>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1"/>
      <c r="BH538" s="1421"/>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1"/>
      <c r="BH539" s="1421"/>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1"/>
      <c r="BH540" s="1421"/>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1"/>
      <c r="BH541" s="1421"/>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1"/>
      <c r="BH542" s="1421"/>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1"/>
      <c r="BH543" s="1421"/>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1"/>
      <c r="BH544" s="1421"/>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1"/>
      <c r="BH545" s="1421"/>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1"/>
      <c r="BH546" s="1421"/>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1"/>
      <c r="BH547" s="1421"/>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1"/>
      <c r="BH548" s="1421"/>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911</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55" t="s">
        <v>1222</v>
      </c>
      <c r="B1" s="2455"/>
      <c r="C1" s="2455"/>
      <c r="D1" s="2455"/>
      <c r="E1" s="2455"/>
      <c r="F1" s="2455"/>
      <c r="G1" s="2455"/>
      <c r="H1" s="2455"/>
      <c r="I1" s="2455"/>
      <c r="J1" s="2455"/>
      <c r="K1" s="2455"/>
      <c r="L1" s="2455"/>
      <c r="M1" s="2455"/>
      <c r="N1" s="2455"/>
      <c r="O1" s="2455"/>
      <c r="P1" s="2455"/>
      <c r="Q1" s="2455"/>
      <c r="R1" s="2455"/>
      <c r="S1" s="2455"/>
      <c r="T1" s="2455"/>
      <c r="U1" s="2455"/>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1466</v>
      </c>
      <c r="C2" s="1055">
        <f>списки!$C$56-'Расчет базового уровня'!$D$147</f>
        <v>55</v>
      </c>
      <c r="D2" s="50"/>
      <c r="E2" s="50"/>
      <c r="F2" s="50"/>
      <c r="G2" s="50"/>
      <c r="H2" s="50"/>
      <c r="I2" s="50"/>
      <c r="J2" s="50"/>
      <c r="K2" s="50"/>
      <c r="L2" s="50"/>
      <c r="M2" s="50"/>
      <c r="N2" s="50"/>
      <c r="O2" s="50"/>
      <c r="P2" s="50"/>
      <c r="Q2" s="50"/>
      <c r="R2" s="50"/>
      <c r="S2" s="50"/>
      <c r="T2" s="50"/>
      <c r="U2" s="50"/>
      <c r="V2" s="50"/>
    </row>
    <row r="3" spans="1:59" ht="37.5" customHeight="1" x14ac:dyDescent="0.25">
      <c r="A3" s="2540" t="s">
        <v>756</v>
      </c>
      <c r="B3" s="2542" t="s">
        <v>1339</v>
      </c>
      <c r="C3" s="2544" t="s">
        <v>1329</v>
      </c>
      <c r="D3" s="2545"/>
      <c r="E3" s="2545"/>
      <c r="F3" s="2545"/>
      <c r="G3" s="2545"/>
      <c r="H3" s="2546"/>
      <c r="I3" s="2547" t="s">
        <v>1330</v>
      </c>
      <c r="J3" s="2547"/>
      <c r="K3" s="2548"/>
      <c r="L3" s="50"/>
      <c r="M3" s="50"/>
      <c r="N3" s="50"/>
      <c r="O3" s="50"/>
      <c r="P3" s="50"/>
      <c r="Q3" s="50"/>
      <c r="R3" s="50"/>
      <c r="S3" s="50"/>
      <c r="T3" s="50"/>
      <c r="U3" s="50"/>
      <c r="V3" s="50"/>
    </row>
    <row r="4" spans="1:59" ht="45.95" customHeight="1" x14ac:dyDescent="0.25">
      <c r="A4" s="2541"/>
      <c r="B4" s="2543"/>
      <c r="C4" s="1056" t="s">
        <v>1331</v>
      </c>
      <c r="D4" s="1057" t="s">
        <v>1332</v>
      </c>
      <c r="E4" s="1057" t="s">
        <v>1333</v>
      </c>
      <c r="F4" s="1058" t="s">
        <v>1334</v>
      </c>
      <c r="G4" s="1058" t="s">
        <v>1335</v>
      </c>
      <c r="H4" s="1058" t="s">
        <v>1336</v>
      </c>
      <c r="I4" s="1057" t="s">
        <v>1337</v>
      </c>
      <c r="J4" s="1057" t="s">
        <v>1442</v>
      </c>
      <c r="K4" s="1059" t="s">
        <v>1338</v>
      </c>
      <c r="L4" s="50"/>
      <c r="M4" s="50"/>
      <c r="N4" s="50"/>
      <c r="O4" s="50"/>
      <c r="P4" s="50"/>
      <c r="Q4" s="50"/>
      <c r="R4" s="50"/>
      <c r="S4" s="50"/>
      <c r="T4" s="50"/>
      <c r="U4" s="50"/>
      <c r="V4" s="50"/>
      <c r="W4" s="60"/>
    </row>
    <row r="5" spans="1:59" s="1068" customFormat="1" ht="27" customHeight="1" x14ac:dyDescent="0.25">
      <c r="A5" s="1060" t="s">
        <v>1381</v>
      </c>
      <c r="B5" s="1061" t="str">
        <f>CONCATENATE(A5,C5)</f>
        <v>II-18керамзитобетон (блоки)</v>
      </c>
      <c r="C5" s="913" t="s">
        <v>1148</v>
      </c>
      <c r="D5" s="1062"/>
      <c r="E5" s="1062"/>
      <c r="F5" s="1063">
        <v>0.4</v>
      </c>
      <c r="G5" s="1062"/>
      <c r="H5" s="1062"/>
      <c r="I5" s="1064">
        <f>0.4/AVERAGE(H262:H269)+1/23+1/8.7</f>
        <v>0.94081687762475719</v>
      </c>
      <c r="J5" s="1065">
        <f>1*(списки!$C$56-'Расчет базового уровня'!$D$147)/(6*8.7)</f>
        <v>1.053639846743295</v>
      </c>
      <c r="K5" s="1066">
        <f>MAX(I5:J5)</f>
        <v>1.053639846743295</v>
      </c>
      <c r="L5" s="50"/>
      <c r="M5" s="50"/>
      <c r="N5" s="50"/>
      <c r="O5" s="50"/>
      <c r="P5" s="50"/>
      <c r="Q5" s="50"/>
      <c r="R5" s="50"/>
      <c r="S5" s="50"/>
      <c r="T5" s="50"/>
      <c r="U5" s="50"/>
      <c r="V5" s="50"/>
      <c r="W5" s="1067"/>
    </row>
    <row r="6" spans="1:59" s="1068" customFormat="1" ht="17.100000000000001" customHeight="1" x14ac:dyDescent="0.25">
      <c r="A6" s="1060" t="s">
        <v>1381</v>
      </c>
      <c r="B6" s="1061" t="str">
        <f t="shared" ref="B6:B33" si="0">CONCATENATE(A6,C6)</f>
        <v>II-18кирпич</v>
      </c>
      <c r="C6" s="913" t="s">
        <v>919</v>
      </c>
      <c r="D6" s="1062"/>
      <c r="E6" s="1062"/>
      <c r="F6" s="1063">
        <v>0.51</v>
      </c>
      <c r="G6" s="1062"/>
      <c r="H6" s="1062"/>
      <c r="I6" s="1064">
        <f>F6/H327+1/23+1/8.7</f>
        <v>0.88699221817662599</v>
      </c>
      <c r="J6" s="1065">
        <f>1*(списки!$C$56-'Расчет базового уровня'!$D$147)/(6*8.7)</f>
        <v>1.053639846743295</v>
      </c>
      <c r="K6" s="1066">
        <f t="shared" ref="K6:K33" si="1">MAX(I6:J6)</f>
        <v>1.053639846743295</v>
      </c>
      <c r="L6" s="50"/>
      <c r="M6" s="50"/>
      <c r="N6" s="50"/>
      <c r="O6" s="50"/>
      <c r="P6" s="50"/>
      <c r="Q6" s="50"/>
      <c r="R6" s="50"/>
      <c r="S6" s="50"/>
      <c r="T6" s="50"/>
      <c r="U6" s="50"/>
      <c r="V6" s="50"/>
      <c r="W6" s="1067"/>
    </row>
    <row r="7" spans="1:59" s="1068" customFormat="1" ht="17.100000000000001" customHeight="1" x14ac:dyDescent="0.25">
      <c r="A7" s="1060" t="s">
        <v>1383</v>
      </c>
      <c r="B7" s="1061" t="str">
        <f t="shared" si="0"/>
        <v>II-49железобетон</v>
      </c>
      <c r="C7" s="909" t="s">
        <v>1146</v>
      </c>
      <c r="D7" s="1069"/>
      <c r="E7" s="1069">
        <v>0.3</v>
      </c>
      <c r="F7" s="1063">
        <v>0.25</v>
      </c>
      <c r="G7" s="1069">
        <v>0.05</v>
      </c>
      <c r="H7" s="1069"/>
      <c r="I7" s="1070">
        <f>0.25/H349+0.05/H125+1/23+1/8.7</f>
        <v>1.0622198092130406</v>
      </c>
      <c r="J7" s="1065">
        <f>1*(списки!$C$56-'Расчет базового уровня'!$D$147)/(6*8.7)</f>
        <v>1.053639846743295</v>
      </c>
      <c r="K7" s="1066">
        <f t="shared" si="1"/>
        <v>1.0622198092130406</v>
      </c>
      <c r="L7" s="50"/>
      <c r="M7" s="50"/>
      <c r="N7" s="50"/>
      <c r="O7" s="50"/>
      <c r="P7" s="50"/>
      <c r="Q7" s="50"/>
      <c r="R7" s="50"/>
      <c r="S7" s="50"/>
      <c r="T7" s="50"/>
      <c r="U7" s="50"/>
      <c r="V7" s="50"/>
      <c r="W7" s="1067"/>
    </row>
    <row r="8" spans="1:59" s="1068" customFormat="1" ht="17.100000000000001" customHeight="1" x14ac:dyDescent="0.25">
      <c r="A8" s="1060" t="s">
        <v>1383</v>
      </c>
      <c r="B8" s="1061" t="str">
        <f t="shared" si="0"/>
        <v>II-49керамзитобетон</v>
      </c>
      <c r="C8" s="909" t="s">
        <v>1147</v>
      </c>
      <c r="D8" s="1069"/>
      <c r="E8" s="1069">
        <v>0.34</v>
      </c>
      <c r="F8" s="1063"/>
      <c r="G8" s="1069"/>
      <c r="H8" s="1069"/>
      <c r="I8" s="1070">
        <f>0.34/AVERAGE($H$262:$H$269)+1/23+1/8.7</f>
        <v>0.82345746442182322</v>
      </c>
      <c r="J8" s="1065">
        <f>1*(списки!$C$56-'Расчет базового уровня'!$D$147)/(6*8.7)</f>
        <v>1.053639846743295</v>
      </c>
      <c r="K8" s="1066">
        <f t="shared" si="1"/>
        <v>1.053639846743295</v>
      </c>
      <c r="L8" s="50"/>
      <c r="M8" s="50"/>
      <c r="N8" s="50"/>
      <c r="O8" s="50"/>
      <c r="P8" s="50"/>
      <c r="Q8" s="50"/>
      <c r="R8" s="50"/>
      <c r="S8" s="50"/>
      <c r="T8" s="50"/>
      <c r="U8" s="50"/>
      <c r="V8" s="50"/>
      <c r="W8" s="1067"/>
    </row>
    <row r="9" spans="1:59" s="1068" customFormat="1" ht="17.100000000000001" customHeight="1" x14ac:dyDescent="0.25">
      <c r="A9" s="1060" t="s">
        <v>1429</v>
      </c>
      <c r="B9" s="1061" t="str">
        <f t="shared" si="0"/>
        <v>II-68 (-01, -02) 1 или 2 секциижелезобетонная панель</v>
      </c>
      <c r="C9" s="909" t="s">
        <v>1385</v>
      </c>
      <c r="D9" s="1069"/>
      <c r="E9" s="1069"/>
      <c r="F9" s="1063"/>
      <c r="G9" s="1069"/>
      <c r="H9" s="1069"/>
      <c r="I9" s="1070">
        <f>(0.25/$H$349+0.05/$H$125+1/23+1/8.7)*0.8</f>
        <v>0.84977584737043255</v>
      </c>
      <c r="J9" s="1065">
        <f>1*(списки!$C$56-'Расчет базового уровня'!$D$147)/(6*8.7)</f>
        <v>1.053639846743295</v>
      </c>
      <c r="K9" s="1066">
        <f t="shared" si="1"/>
        <v>1.053639846743295</v>
      </c>
      <c r="L9" s="50"/>
      <c r="M9" s="50"/>
      <c r="N9" s="50"/>
      <c r="O9" s="50"/>
      <c r="P9" s="50"/>
      <c r="Q9" s="50"/>
      <c r="R9" s="50"/>
      <c r="S9" s="50"/>
      <c r="T9" s="50"/>
      <c r="U9" s="50"/>
      <c r="V9" s="50"/>
      <c r="W9" s="1067"/>
    </row>
    <row r="10" spans="1:59" s="1068" customFormat="1" ht="17.100000000000001" customHeight="1" x14ac:dyDescent="0.25">
      <c r="A10" s="1060" t="s">
        <v>1547</v>
      </c>
      <c r="B10" s="1061" t="str">
        <f t="shared" si="0"/>
        <v>121 (-041,-042,-043) (9-10 эт)железобетонная панель</v>
      </c>
      <c r="C10" s="909" t="s">
        <v>1385</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1.053639846743295</v>
      </c>
      <c r="K10" s="1066">
        <f t="shared" si="1"/>
        <v>1.053639846743295</v>
      </c>
      <c r="L10" s="50"/>
      <c r="M10" s="50"/>
      <c r="N10" s="50"/>
      <c r="O10" s="50"/>
      <c r="P10" s="50"/>
      <c r="Q10" s="50"/>
      <c r="R10" s="50"/>
      <c r="S10" s="50"/>
      <c r="T10" s="50"/>
      <c r="U10" s="50"/>
      <c r="V10" s="50"/>
      <c r="W10" s="1067"/>
    </row>
    <row r="11" spans="1:59" s="1068" customFormat="1" ht="17.100000000000001" customHeight="1" x14ac:dyDescent="0.25">
      <c r="A11" s="1060" t="s">
        <v>1548</v>
      </c>
      <c r="B11" s="1061" t="str">
        <f t="shared" si="0"/>
        <v>121 (-014,-016,-017) (5,9,10 эт)железобетонная панель</v>
      </c>
      <c r="C11" s="909" t="s">
        <v>1385</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1.053639846743295</v>
      </c>
      <c r="K11" s="1066">
        <f t="shared" si="1"/>
        <v>1.053639846743295</v>
      </c>
      <c r="L11" s="50"/>
      <c r="M11" s="50"/>
      <c r="N11" s="50"/>
      <c r="O11" s="50"/>
      <c r="P11" s="50"/>
      <c r="Q11" s="50"/>
      <c r="R11" s="50"/>
      <c r="S11" s="50"/>
      <c r="T11" s="50"/>
      <c r="U11" s="50"/>
      <c r="V11" s="50"/>
      <c r="W11" s="1067"/>
    </row>
    <row r="12" spans="1:59" s="1068" customFormat="1" ht="17.100000000000001" customHeight="1" x14ac:dyDescent="0.25">
      <c r="A12" s="939" t="s">
        <v>1380</v>
      </c>
      <c r="B12" s="1061" t="str">
        <f t="shared" si="0"/>
        <v>I-125железобетонная панель</v>
      </c>
      <c r="C12" s="909" t="s">
        <v>1385</v>
      </c>
      <c r="D12" s="1069"/>
      <c r="E12" s="1069"/>
      <c r="F12" s="1063"/>
      <c r="G12" s="1069"/>
      <c r="H12" s="1069"/>
      <c r="I12" s="1070">
        <f>(0.25/$H$349+0.05/$H$125+1/23+1/8.7)*0.8</f>
        <v>0.84977584737043255</v>
      </c>
      <c r="J12" s="1065">
        <f>1*(списки!$C$56-'Расчет базового уровня'!$D$147)/(6*8.7)</f>
        <v>1.053639846743295</v>
      </c>
      <c r="K12" s="1066">
        <f t="shared" si="1"/>
        <v>1.053639846743295</v>
      </c>
      <c r="L12" s="50"/>
      <c r="M12" s="50"/>
      <c r="N12" s="50"/>
      <c r="O12" s="50"/>
      <c r="P12" s="50"/>
      <c r="Q12" s="50"/>
      <c r="R12" s="50"/>
      <c r="S12" s="50"/>
      <c r="T12" s="50"/>
      <c r="U12" s="50"/>
      <c r="V12" s="50"/>
      <c r="W12" s="1067"/>
    </row>
    <row r="13" spans="1:59" s="1068" customFormat="1" ht="17.100000000000001" customHeight="1" x14ac:dyDescent="0.25">
      <c r="A13" s="939" t="s">
        <v>1375</v>
      </c>
      <c r="B13" s="1061" t="str">
        <f t="shared" si="0"/>
        <v>I-335керамзитобетонная 1-слойная панель</v>
      </c>
      <c r="C13" s="1071" t="s">
        <v>920</v>
      </c>
      <c r="D13" s="1069"/>
      <c r="E13" s="1069"/>
      <c r="F13" s="1063"/>
      <c r="G13" s="1069"/>
      <c r="H13" s="1069"/>
      <c r="I13" s="1070">
        <f>(0.4/AVERAGE($H$262:$H$269)+1/23+1/8.7)*0.8</f>
        <v>0.75265350209980575</v>
      </c>
      <c r="J13" s="1065">
        <f>1*(списки!$C$56-'Расчет базового уровня'!$D$147)/(6*8.7)</f>
        <v>1.053639846743295</v>
      </c>
      <c r="K13" s="1066">
        <f t="shared" si="1"/>
        <v>1.053639846743295</v>
      </c>
      <c r="L13" s="50"/>
      <c r="M13" s="50"/>
      <c r="N13" s="50"/>
      <c r="O13" s="50"/>
      <c r="P13" s="50"/>
      <c r="Q13" s="50"/>
      <c r="R13" s="50"/>
      <c r="S13" s="50"/>
      <c r="T13" s="50"/>
      <c r="U13" s="50"/>
      <c r="V13" s="50"/>
      <c r="W13" s="1067"/>
    </row>
    <row r="14" spans="1:59" s="1068" customFormat="1" ht="17.100000000000001" customHeight="1" x14ac:dyDescent="0.25">
      <c r="A14" s="939" t="s">
        <v>1549</v>
      </c>
      <c r="B14" s="1061" t="str">
        <f t="shared" si="0"/>
        <v>I-447 (4,5 эт)кирпич</v>
      </c>
      <c r="C14" s="909" t="s">
        <v>919</v>
      </c>
      <c r="D14" s="1069"/>
      <c r="E14" s="1069"/>
      <c r="F14" s="1063"/>
      <c r="G14" s="1069"/>
      <c r="H14" s="1069"/>
      <c r="I14" s="1070">
        <f>0.4/H327+1/23+1/8.7</f>
        <v>0.72984936103376885</v>
      </c>
      <c r="J14" s="1065">
        <f>1*(списки!$C$56-'Расчет базового уровня'!$D$147)/(6*8.7)</f>
        <v>1.053639846743295</v>
      </c>
      <c r="K14" s="1066">
        <f t="shared" si="1"/>
        <v>1.053639846743295</v>
      </c>
      <c r="L14" s="50"/>
      <c r="M14" s="50"/>
      <c r="N14" s="50"/>
      <c r="O14" s="50"/>
      <c r="P14" s="50"/>
      <c r="Q14" s="50"/>
      <c r="R14" s="50"/>
      <c r="S14" s="50"/>
      <c r="T14" s="50"/>
      <c r="U14" s="50"/>
      <c r="V14" s="50"/>
      <c r="W14" s="1067"/>
    </row>
    <row r="15" spans="1:59" s="1068" customFormat="1" ht="17.100000000000001" customHeight="1" x14ac:dyDescent="0.25">
      <c r="A15" s="939" t="s">
        <v>1384</v>
      </c>
      <c r="B15" s="1061" t="str">
        <f>CONCATENATE(A15,C15)</f>
        <v>I-447С-26 (башня)кирпич</v>
      </c>
      <c r="C15" s="909" t="s">
        <v>919</v>
      </c>
      <c r="D15" s="1069"/>
      <c r="E15" s="1069"/>
      <c r="F15" s="1063"/>
      <c r="G15" s="1069"/>
      <c r="H15" s="1069"/>
      <c r="I15" s="1070">
        <f>0.4/H327+1/23+1/8.7</f>
        <v>0.72984936103376885</v>
      </c>
      <c r="J15" s="1065">
        <f>1*(списки!$C$56-'Расчет базового уровня'!$D$147)/(6*8.7)</f>
        <v>1.053639846743295</v>
      </c>
      <c r="K15" s="1066">
        <f>MAX(I15:J15)</f>
        <v>1.053639846743295</v>
      </c>
      <c r="L15" s="50"/>
      <c r="M15" s="50"/>
      <c r="N15" s="50"/>
      <c r="O15" s="50"/>
      <c r="P15" s="50"/>
      <c r="Q15" s="50"/>
      <c r="R15" s="50"/>
      <c r="S15" s="50"/>
      <c r="T15" s="50"/>
      <c r="U15" s="50"/>
      <c r="V15" s="50"/>
      <c r="W15" s="1067"/>
    </row>
    <row r="16" spans="1:59" s="1068" customFormat="1" ht="17.100000000000001" customHeight="1" x14ac:dyDescent="0.25">
      <c r="A16" s="939" t="s">
        <v>1764</v>
      </c>
      <c r="B16" s="1061" t="str">
        <f t="shared" si="0"/>
        <v>I-464А (3,4,5 эт) ж/б 3-х слойная панель с утеплителем</v>
      </c>
      <c r="C16" s="1071" t="s">
        <v>921</v>
      </c>
      <c r="D16" s="1069"/>
      <c r="E16" s="1069">
        <v>0.3</v>
      </c>
      <c r="F16" s="1063">
        <v>0.25</v>
      </c>
      <c r="G16" s="1069">
        <v>0.05</v>
      </c>
      <c r="H16" s="1069"/>
      <c r="I16" s="1070">
        <f>(0.25/$H$349+0.05/$H$125+1/23+1/8.7)*0.8</f>
        <v>0.84977584737043255</v>
      </c>
      <c r="J16" s="1065">
        <f>1*(списки!$C$56-'Расчет базового уровня'!$D$147)/(6*8.7)</f>
        <v>1.053639846743295</v>
      </c>
      <c r="K16" s="1066">
        <f t="shared" si="1"/>
        <v>1.053639846743295</v>
      </c>
      <c r="L16" s="50"/>
      <c r="M16" s="50"/>
      <c r="N16" s="50"/>
      <c r="O16" s="50"/>
      <c r="P16" s="50"/>
      <c r="Q16" s="50"/>
      <c r="R16" s="50"/>
      <c r="S16" s="50"/>
      <c r="T16" s="50"/>
      <c r="U16" s="50"/>
      <c r="V16" s="50"/>
      <c r="W16" s="1067"/>
    </row>
    <row r="17" spans="1:23" s="1068" customFormat="1" ht="17.100000000000001" customHeight="1" x14ac:dyDescent="0.25">
      <c r="A17" s="939" t="s">
        <v>1765</v>
      </c>
      <c r="B17" s="1061" t="str">
        <f t="shared" si="0"/>
        <v>I-464А17 (5 эт, 60 кв) ж/б 3-х слойная панель с утеплителем</v>
      </c>
      <c r="C17" s="1071" t="s">
        <v>921</v>
      </c>
      <c r="D17" s="1069"/>
      <c r="E17" s="1069">
        <v>0.3</v>
      </c>
      <c r="F17" s="1063">
        <v>0.25</v>
      </c>
      <c r="G17" s="1069">
        <v>0.05</v>
      </c>
      <c r="H17" s="1069"/>
      <c r="I17" s="1070">
        <f>(0.25/$H$349+0.05/$H$125+1/23+1/8.7)*0.8</f>
        <v>0.84977584737043255</v>
      </c>
      <c r="J17" s="1065">
        <f>1*(списки!$C$56-'Расчет базового уровня'!$D$147)/(6*8.7)</f>
        <v>1.053639846743295</v>
      </c>
      <c r="K17" s="1066">
        <f t="shared" si="1"/>
        <v>1.053639846743295</v>
      </c>
      <c r="L17" s="50"/>
      <c r="M17" s="50"/>
      <c r="N17" s="50"/>
      <c r="O17" s="50"/>
      <c r="P17" s="50"/>
      <c r="Q17" s="50"/>
      <c r="R17" s="50"/>
      <c r="S17" s="50"/>
      <c r="T17" s="50"/>
      <c r="U17" s="50"/>
      <c r="V17" s="50"/>
      <c r="W17" s="1067"/>
    </row>
    <row r="18" spans="1:23" s="1068" customFormat="1" ht="17.100000000000001" customHeight="1" x14ac:dyDescent="0.25">
      <c r="A18" s="939" t="s">
        <v>1430</v>
      </c>
      <c r="B18" s="1061" t="str">
        <f>CONCATENATE(A18,C18)</f>
        <v>I-464Д (9эт)-83,-101 ж/б 3-х слойная панель с утеплителем</v>
      </c>
      <c r="C18" s="1071" t="s">
        <v>921</v>
      </c>
      <c r="D18" s="1069"/>
      <c r="E18" s="1069">
        <v>0.3</v>
      </c>
      <c r="F18" s="1063">
        <v>0.25</v>
      </c>
      <c r="G18" s="1069">
        <v>0.05</v>
      </c>
      <c r="H18" s="1069"/>
      <c r="I18" s="1070">
        <f>(0.25/$H$349+0.05/$H$125+1/23+1/8.7)*0.8</f>
        <v>0.84977584737043255</v>
      </c>
      <c r="J18" s="1065">
        <f>1*(списки!$C$56-'Расчет базового уровня'!$D$147)/(6*8.7)</f>
        <v>1.053639846743295</v>
      </c>
      <c r="K18" s="1066">
        <f>MAX(I18:J18)</f>
        <v>1.053639846743295</v>
      </c>
      <c r="L18" s="50"/>
      <c r="M18" s="50"/>
      <c r="N18" s="50"/>
      <c r="O18" s="50"/>
      <c r="P18" s="50"/>
      <c r="Q18" s="50"/>
      <c r="R18" s="50"/>
      <c r="S18" s="50"/>
      <c r="T18" s="50"/>
      <c r="U18" s="50"/>
      <c r="V18" s="50"/>
      <c r="W18" s="1067"/>
    </row>
    <row r="19" spans="1:23" s="1068" customFormat="1" ht="17.100000000000001" customHeight="1" x14ac:dyDescent="0.25">
      <c r="A19" s="939" t="s">
        <v>1376</v>
      </c>
      <c r="B19" s="1061" t="str">
        <f t="shared" si="0"/>
        <v>I-510шлакобетон (блоки)</v>
      </c>
      <c r="C19" s="909" t="s">
        <v>1149</v>
      </c>
      <c r="D19" s="1069"/>
      <c r="E19" s="1069"/>
      <c r="F19" s="1063"/>
      <c r="G19" s="1069"/>
      <c r="H19" s="1069"/>
      <c r="I19" s="1070">
        <f>0.4/AVERAGE(H282:H286)+1/23+1/8.7</f>
        <v>0.89371490725225611</v>
      </c>
      <c r="J19" s="1065">
        <f>1*(списки!$C$56-'Расчет базового уровня'!$D$147)/(6*8.7)</f>
        <v>1.053639846743295</v>
      </c>
      <c r="K19" s="1066">
        <f t="shared" si="1"/>
        <v>1.053639846743295</v>
      </c>
      <c r="L19" s="50"/>
      <c r="M19" s="50"/>
      <c r="N19" s="50"/>
      <c r="O19" s="50"/>
      <c r="P19" s="50"/>
      <c r="Q19" s="50"/>
      <c r="R19" s="50"/>
      <c r="S19" s="50"/>
      <c r="T19" s="50"/>
      <c r="U19" s="50"/>
      <c r="V19" s="50"/>
      <c r="W19" s="1067"/>
    </row>
    <row r="20" spans="1:23" s="1068" customFormat="1" ht="17.100000000000001" customHeight="1" x14ac:dyDescent="0.25">
      <c r="A20" s="939" t="s">
        <v>1377</v>
      </c>
      <c r="B20" s="1061" t="str">
        <f t="shared" si="0"/>
        <v>I-511кирпич</v>
      </c>
      <c r="C20" s="909" t="s">
        <v>919</v>
      </c>
      <c r="D20" s="1069"/>
      <c r="E20" s="1069">
        <v>0.4</v>
      </c>
      <c r="F20" s="1063"/>
      <c r="G20" s="1069"/>
      <c r="H20" s="1069"/>
      <c r="I20" s="1070">
        <f>0.4/H327+1/23+1/8.7</f>
        <v>0.72984936103376885</v>
      </c>
      <c r="J20" s="1065">
        <f>1*(списки!$C$56-'Расчет базового уровня'!$D$147)/(6*8.7)</f>
        <v>1.053639846743295</v>
      </c>
      <c r="K20" s="1066">
        <f t="shared" si="1"/>
        <v>1.053639846743295</v>
      </c>
      <c r="L20" s="50"/>
      <c r="M20" s="50"/>
      <c r="N20" s="50"/>
      <c r="O20" s="50"/>
      <c r="P20" s="50"/>
      <c r="Q20" s="50"/>
      <c r="R20" s="50"/>
      <c r="S20" s="50"/>
      <c r="T20" s="50"/>
      <c r="U20" s="50"/>
      <c r="V20" s="50"/>
      <c r="W20" s="1067"/>
    </row>
    <row r="21" spans="1:23" s="1068" customFormat="1" ht="17.100000000000001" customHeight="1" x14ac:dyDescent="0.25">
      <c r="A21" s="939" t="s">
        <v>1378</v>
      </c>
      <c r="B21" s="1061" t="str">
        <f t="shared" si="0"/>
        <v>I-515 (5 эт)керамзитобетонная 1-слойная панель</v>
      </c>
      <c r="C21" s="1071" t="s">
        <v>920</v>
      </c>
      <c r="D21" s="1069"/>
      <c r="E21" s="1069">
        <v>0.35</v>
      </c>
      <c r="F21" s="1063"/>
      <c r="G21" s="1069"/>
      <c r="H21" s="1069"/>
      <c r="I21" s="1070">
        <f>0.4/AVERAGE($H$262:$H$269)+1/23+1/8.7</f>
        <v>0.94081687762475719</v>
      </c>
      <c r="J21" s="1065">
        <f>1*(списки!$C$56-'Расчет базового уровня'!$D$147)/(6*8.7)</f>
        <v>1.053639846743295</v>
      </c>
      <c r="K21" s="1066">
        <f t="shared" si="1"/>
        <v>1.053639846743295</v>
      </c>
      <c r="L21" s="50"/>
      <c r="M21" s="50"/>
      <c r="N21" s="50"/>
      <c r="O21" s="50"/>
      <c r="P21" s="50"/>
      <c r="Q21" s="50"/>
      <c r="R21" s="50"/>
      <c r="S21" s="50"/>
      <c r="T21" s="50"/>
      <c r="U21" s="50"/>
      <c r="V21" s="50"/>
      <c r="W21" s="1067"/>
    </row>
    <row r="22" spans="1:23" s="1068" customFormat="1" ht="17.100000000000001" customHeight="1" x14ac:dyDescent="0.25">
      <c r="A22" s="939" t="s">
        <v>1379</v>
      </c>
      <c r="B22" s="1061" t="str">
        <f t="shared" si="0"/>
        <v>I-515/9 (9 эт)шлакокерамзитобетонная 1-слойная панель</v>
      </c>
      <c r="C22" s="1071" t="s">
        <v>1343</v>
      </c>
      <c r="D22" s="1069"/>
      <c r="E22" s="1069">
        <v>0.4</v>
      </c>
      <c r="F22" s="1063"/>
      <c r="G22" s="1069"/>
      <c r="H22" s="1069"/>
      <c r="I22" s="1070">
        <f>0.4/AVERAGE($H$262:$H$269)+1/23+1/8.7</f>
        <v>0.94081687762475719</v>
      </c>
      <c r="J22" s="1065">
        <f>1*(списки!$C$56-'Расчет базового уровня'!$D$147)/(6*8.7)</f>
        <v>1.053639846743295</v>
      </c>
      <c r="K22" s="1066">
        <f>MAX(I22:J22)</f>
        <v>1.053639846743295</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1148</v>
      </c>
      <c r="D23" s="1069"/>
      <c r="E23" s="1069"/>
      <c r="F23" s="1063"/>
      <c r="G23" s="1069"/>
      <c r="H23" s="1069"/>
      <c r="I23" s="1070">
        <f>0.4/AVERAGE(H262:H269)+1/23+1/8.7</f>
        <v>0.94081687762475719</v>
      </c>
      <c r="J23" s="1065">
        <f>1*(списки!$C$56-'Расчет базового уровня'!$D$147)/(6*8.7)</f>
        <v>1.053639846743295</v>
      </c>
      <c r="K23" s="1066">
        <f t="shared" si="1"/>
        <v>1.053639846743295</v>
      </c>
      <c r="L23" s="50"/>
      <c r="M23" s="50"/>
      <c r="N23" s="50"/>
      <c r="O23" s="50"/>
      <c r="P23" s="50"/>
      <c r="Q23" s="50"/>
      <c r="R23" s="50"/>
      <c r="S23" s="50"/>
      <c r="T23" s="50"/>
      <c r="U23" s="50"/>
      <c r="V23" s="50"/>
      <c r="W23" s="1067"/>
    </row>
    <row r="24" spans="1:23" s="1068" customFormat="1" ht="17.100000000000001" customHeight="1" x14ac:dyDescent="0.25">
      <c r="A24" s="939" t="s">
        <v>1382</v>
      </c>
      <c r="B24" s="1061" t="str">
        <f t="shared" si="0"/>
        <v>II-29кирпич</v>
      </c>
      <c r="C24" s="1071" t="s">
        <v>919</v>
      </c>
      <c r="D24" s="1069"/>
      <c r="E24" s="1069"/>
      <c r="F24" s="1063"/>
      <c r="G24" s="1069"/>
      <c r="H24" s="1069"/>
      <c r="I24" s="1070">
        <f>AVERAGE(0.51)/H327+1/23+1/8.7</f>
        <v>0.88699221817662599</v>
      </c>
      <c r="J24" s="1065">
        <f>1*(списки!$C$56-'Расчет базового уровня'!$D$147)/(6*8.7)</f>
        <v>1.053639846743295</v>
      </c>
      <c r="K24" s="1066">
        <f t="shared" si="1"/>
        <v>1.053639846743295</v>
      </c>
      <c r="L24" s="50"/>
      <c r="M24" s="50"/>
      <c r="N24" s="50"/>
      <c r="O24" s="50"/>
      <c r="P24" s="50"/>
      <c r="Q24" s="50"/>
      <c r="R24" s="50"/>
      <c r="S24" s="50"/>
      <c r="T24" s="50"/>
      <c r="U24" s="50"/>
      <c r="V24" s="50"/>
      <c r="W24" s="1067"/>
    </row>
    <row r="25" spans="1:23" s="1068" customFormat="1" ht="17.100000000000001" customHeight="1" x14ac:dyDescent="0.25">
      <c r="A25" s="939" t="s">
        <v>1352</v>
      </c>
      <c r="B25" s="1061" t="str">
        <f t="shared" si="0"/>
        <v>П-3 (только прямая секция)керамзитобетонная 1-слойная панель</v>
      </c>
      <c r="C25" s="1071" t="s">
        <v>920</v>
      </c>
      <c r="D25" s="1069"/>
      <c r="E25" s="1069">
        <v>0.32</v>
      </c>
      <c r="F25" s="1063"/>
      <c r="G25" s="1069"/>
      <c r="H25" s="1069"/>
      <c r="I25" s="1070">
        <f>E25/H266+1/8.7+1/23</f>
        <v>0.93890859448324615</v>
      </c>
      <c r="J25" s="1065">
        <f>1*(списки!$C$56-'Расчет базового уровня'!$D$147)/(6*8.7)</f>
        <v>1.053639846743295</v>
      </c>
      <c r="K25" s="1066">
        <f t="shared" si="1"/>
        <v>1.053639846743295</v>
      </c>
      <c r="L25" s="50"/>
      <c r="M25" s="50"/>
      <c r="N25" s="50"/>
      <c r="O25" s="50"/>
      <c r="P25" s="50"/>
      <c r="Q25" s="50"/>
      <c r="R25" s="50"/>
      <c r="S25" s="50"/>
      <c r="T25" s="50"/>
      <c r="U25" s="50"/>
      <c r="V25" s="50"/>
      <c r="W25" s="1067"/>
    </row>
    <row r="26" spans="1:23" s="1068" customFormat="1" ht="17.100000000000001" customHeight="1" x14ac:dyDescent="0.25">
      <c r="A26" s="1072" t="s">
        <v>1429</v>
      </c>
      <c r="B26" s="1061" t="str">
        <f t="shared" si="0"/>
        <v>II-68 (-01, -02) 1 или 2 секциикерамзитобетон (блоки)</v>
      </c>
      <c r="C26" s="909" t="s">
        <v>1148</v>
      </c>
      <c r="D26" s="1069"/>
      <c r="E26" s="1069"/>
      <c r="F26" s="1063"/>
      <c r="G26" s="1069"/>
      <c r="H26" s="1069"/>
      <c r="I26" s="1070">
        <f>0.4/AVERAGE(H262:H269)+1/23+1/8.7</f>
        <v>0.94081687762475719</v>
      </c>
      <c r="J26" s="1065">
        <f>1*(списки!$C$56-'Расчет базового уровня'!$D$147)/(6*8.7)</f>
        <v>1.053639846743295</v>
      </c>
      <c r="K26" s="1066">
        <f t="shared" si="1"/>
        <v>1.053639846743295</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1385</v>
      </c>
      <c r="D27" s="1069"/>
      <c r="E27" s="1069"/>
      <c r="F27" s="1063"/>
      <c r="G27" s="1069"/>
      <c r="H27" s="1069"/>
      <c r="I27" s="1070">
        <f>I33</f>
        <v>0.84977584737043255</v>
      </c>
      <c r="J27" s="1065">
        <f>1*(списки!$C$56-'Расчет базового уровня'!$D$147)/(6*8.7)</f>
        <v>1.053639846743295</v>
      </c>
      <c r="K27" s="1066">
        <f>MAX(I27:J27)</f>
        <v>1.053639846743295</v>
      </c>
      <c r="L27" s="50"/>
      <c r="M27" s="50"/>
      <c r="N27" s="50"/>
      <c r="O27" s="50"/>
      <c r="P27" s="50"/>
      <c r="Q27" s="50"/>
      <c r="R27" s="50"/>
      <c r="S27" s="50"/>
      <c r="T27" s="50"/>
      <c r="U27" s="50"/>
      <c r="V27" s="50"/>
      <c r="W27" s="1067"/>
    </row>
    <row r="28" spans="1:23" s="1068" customFormat="1" ht="17.100000000000001" customHeight="1" x14ac:dyDescent="0.25">
      <c r="A28" s="939" t="s">
        <v>1151</v>
      </c>
      <c r="B28" s="1061" t="str">
        <f t="shared" si="0"/>
        <v>нет в спискекерамзитобетон (блоки)</v>
      </c>
      <c r="C28" s="909" t="s">
        <v>1148</v>
      </c>
      <c r="D28" s="1069"/>
      <c r="E28" s="1069"/>
      <c r="F28" s="1063"/>
      <c r="G28" s="1069"/>
      <c r="H28" s="1069"/>
      <c r="I28" s="1070">
        <f>I26</f>
        <v>0.94081687762475719</v>
      </c>
      <c r="J28" s="1065">
        <f>1*(списки!$C$56-'Расчет базового уровня'!$D$147)/(6*8.7)</f>
        <v>1.053639846743295</v>
      </c>
      <c r="K28" s="1066">
        <f t="shared" si="1"/>
        <v>1.053639846743295</v>
      </c>
      <c r="L28" s="50"/>
      <c r="M28" s="50"/>
      <c r="N28" s="50"/>
      <c r="O28" s="50"/>
      <c r="P28" s="50"/>
      <c r="Q28" s="50"/>
      <c r="R28" s="50"/>
      <c r="S28" s="50"/>
      <c r="T28" s="50"/>
      <c r="U28" s="50"/>
      <c r="V28" s="50"/>
      <c r="W28" s="1067"/>
    </row>
    <row r="29" spans="1:23" s="1068" customFormat="1" ht="17.100000000000001" customHeight="1" x14ac:dyDescent="0.25">
      <c r="A29" s="939" t="s">
        <v>1151</v>
      </c>
      <c r="B29" s="1061" t="str">
        <f t="shared" si="0"/>
        <v>нет в списке ж/б 3-х слойная панель с утеплителем</v>
      </c>
      <c r="C29" s="1071" t="s">
        <v>921</v>
      </c>
      <c r="D29" s="1069"/>
      <c r="E29" s="1069"/>
      <c r="F29" s="1063"/>
      <c r="G29" s="1069"/>
      <c r="H29" s="1069"/>
      <c r="I29" s="1070">
        <f>0.25/H349+0.05/H125+1/23+1/8.7</f>
        <v>1.0622198092130406</v>
      </c>
      <c r="J29" s="1065">
        <f>1*(списки!$C$56-'Расчет базового уровня'!$D$147)/(6*8.7)</f>
        <v>1.053639846743295</v>
      </c>
      <c r="K29" s="1066">
        <f t="shared" si="1"/>
        <v>1.0622198092130406</v>
      </c>
      <c r="L29" s="50"/>
      <c r="M29" s="50"/>
      <c r="N29" s="50"/>
      <c r="O29" s="50"/>
      <c r="P29" s="50"/>
      <c r="Q29" s="50"/>
      <c r="R29" s="50"/>
      <c r="S29" s="50"/>
      <c r="T29" s="50"/>
      <c r="U29" s="50"/>
      <c r="V29" s="50"/>
      <c r="W29" s="1067"/>
    </row>
    <row r="30" spans="1:23" s="1068" customFormat="1" ht="17.100000000000001" customHeight="1" x14ac:dyDescent="0.25">
      <c r="A30" s="939" t="s">
        <v>1151</v>
      </c>
      <c r="B30" s="1061" t="str">
        <f t="shared" si="0"/>
        <v>нет в спискекирпич</v>
      </c>
      <c r="C30" s="1071" t="s">
        <v>919</v>
      </c>
      <c r="D30" s="1069"/>
      <c r="E30" s="1069"/>
      <c r="F30" s="1063"/>
      <c r="G30" s="1069"/>
      <c r="H30" s="1069"/>
      <c r="I30" s="1070">
        <f>AVERAGE(0.51,0.64)/H327+1/23+1/8.7</f>
        <v>0.97984936103376874</v>
      </c>
      <c r="J30" s="1065">
        <f>1*(списки!$C$56-'Расчет базового уровня'!$D$147)/(6*8.7)</f>
        <v>1.053639846743295</v>
      </c>
      <c r="K30" s="1066">
        <f t="shared" si="1"/>
        <v>1.053639846743295</v>
      </c>
      <c r="L30" s="50"/>
      <c r="M30" s="50"/>
      <c r="N30" s="50"/>
      <c r="O30" s="50"/>
      <c r="P30" s="50"/>
      <c r="Q30" s="50"/>
      <c r="R30" s="50"/>
      <c r="S30" s="50"/>
      <c r="T30" s="50"/>
      <c r="U30" s="50"/>
      <c r="V30" s="50"/>
      <c r="W30" s="1067"/>
    </row>
    <row r="31" spans="1:23" s="1068" customFormat="1" ht="17.100000000000001" customHeight="1" x14ac:dyDescent="0.25">
      <c r="A31" s="939" t="s">
        <v>1151</v>
      </c>
      <c r="B31" s="1061" t="str">
        <f t="shared" si="0"/>
        <v>нет в спискешлакобетон (блоки)</v>
      </c>
      <c r="C31" s="909" t="s">
        <v>1149</v>
      </c>
      <c r="D31" s="1069"/>
      <c r="E31" s="1069"/>
      <c r="F31" s="1063"/>
      <c r="G31" s="1069"/>
      <c r="H31" s="1069"/>
      <c r="I31" s="1070">
        <f>I19</f>
        <v>0.89371490725225611</v>
      </c>
      <c r="J31" s="1065">
        <f>1*(списки!$C$56-'Расчет базового уровня'!$D$147)/(6*8.7)</f>
        <v>1.053639846743295</v>
      </c>
      <c r="K31" s="1066">
        <f t="shared" si="1"/>
        <v>1.053639846743295</v>
      </c>
      <c r="L31" s="50"/>
      <c r="M31" s="50"/>
      <c r="N31" s="50"/>
      <c r="O31" s="50"/>
      <c r="P31" s="50"/>
      <c r="Q31" s="50"/>
      <c r="R31" s="50"/>
      <c r="S31" s="50"/>
      <c r="T31" s="50"/>
      <c r="U31" s="50"/>
      <c r="V31" s="50"/>
      <c r="W31" s="1067"/>
    </row>
    <row r="32" spans="1:23" s="1068" customFormat="1" ht="17.100000000000001" customHeight="1" x14ac:dyDescent="0.25">
      <c r="A32" s="939" t="s">
        <v>1151</v>
      </c>
      <c r="B32" s="1061" t="str">
        <f t="shared" si="0"/>
        <v>нет в спискемонолит</v>
      </c>
      <c r="C32" s="909" t="s">
        <v>1448</v>
      </c>
      <c r="D32" s="1069"/>
      <c r="E32" s="1069"/>
      <c r="F32" s="1063"/>
      <c r="G32" s="1069"/>
      <c r="H32" s="1069"/>
      <c r="I32" s="1070">
        <f>J32</f>
        <v>1.053639846743295</v>
      </c>
      <c r="J32" s="1065">
        <f>1*(списки!$C$56-'Расчет базового уровня'!$D$147)/(6*8.7)</f>
        <v>1.053639846743295</v>
      </c>
      <c r="K32" s="1066">
        <f>MAX(I32:J32)</f>
        <v>1.053639846743295</v>
      </c>
      <c r="L32" s="50"/>
      <c r="M32" s="50"/>
      <c r="N32" s="50"/>
      <c r="O32" s="50"/>
      <c r="P32" s="50"/>
      <c r="Q32" s="50"/>
      <c r="R32" s="50"/>
      <c r="S32" s="50"/>
      <c r="T32" s="50"/>
      <c r="U32" s="50"/>
      <c r="V32" s="50"/>
      <c r="W32" s="1067"/>
    </row>
    <row r="33" spans="1:23" s="1068" customFormat="1" ht="17.100000000000001" customHeight="1" x14ac:dyDescent="0.25">
      <c r="A33" s="939" t="s">
        <v>1151</v>
      </c>
      <c r="B33" s="1061" t="str">
        <f t="shared" si="0"/>
        <v>нет в спискежелезобетонная панель</v>
      </c>
      <c r="C33" s="909" t="s">
        <v>1385</v>
      </c>
      <c r="D33" s="1069"/>
      <c r="E33" s="1069"/>
      <c r="F33" s="1063"/>
      <c r="G33" s="1069"/>
      <c r="H33" s="1069"/>
      <c r="I33" s="1070">
        <f>I12</f>
        <v>0.84977584737043255</v>
      </c>
      <c r="J33" s="1065">
        <f>1*(списки!$C$56-'Расчет базового уровня'!$D$147)/(6*8.7)</f>
        <v>1.053639846743295</v>
      </c>
      <c r="K33" s="1066">
        <f t="shared" si="1"/>
        <v>1.053639846743295</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1443</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1.053639846743295</v>
      </c>
    </row>
    <row r="45" spans="1:23" x14ac:dyDescent="0.25">
      <c r="A45" s="71" t="s">
        <v>859</v>
      </c>
      <c r="B45" s="1084">
        <f>0.6*B44</f>
        <v>0.63218390804597702</v>
      </c>
    </row>
    <row r="46" spans="1:23" ht="15" customHeight="1" x14ac:dyDescent="0.3">
      <c r="A46" s="71" t="s">
        <v>858</v>
      </c>
      <c r="B46" s="1084">
        <f>IF(C2&gt;25,IF(C2&gt;44, IF(C2&gt;49,0.52,0.38),0.34), 0.17)</f>
        <v>0.52</v>
      </c>
      <c r="I46" s="1085"/>
    </row>
    <row r="47" spans="1:23" x14ac:dyDescent="0.25">
      <c r="A47" s="249" t="s">
        <v>1293</v>
      </c>
      <c r="B47" s="1086">
        <f>1*(списки!$C$56-'Расчет базового уровня'!$D$147)/(4.5*8.7)</f>
        <v>1.4048531289910602</v>
      </c>
    </row>
    <row r="48" spans="1:23" x14ac:dyDescent="0.25">
      <c r="A48" s="249" t="s">
        <v>1297</v>
      </c>
      <c r="B48" s="1086">
        <f>1*(списки!$C$56-'Расчет базового уровня'!$D$147)/(6*8.7)</f>
        <v>1.053639846743295</v>
      </c>
    </row>
    <row r="49" spans="1:3" x14ac:dyDescent="0.25">
      <c r="A49" s="249" t="s">
        <v>1298</v>
      </c>
      <c r="B49" s="1086">
        <f>1*(списки!$C$56-'Расчет базового уровня'!$D$147)/(3*8.7)</f>
        <v>2.1072796934865901</v>
      </c>
    </row>
    <row r="50" spans="1:3" ht="17.25" customHeight="1" x14ac:dyDescent="0.25">
      <c r="A50" s="249" t="s">
        <v>1282</v>
      </c>
      <c r="B50" s="1086">
        <f>0.4*(списки!$C$56-'Расчет базового уровня'!$D$147)/(4*8.7)</f>
        <v>0.63218390804597702</v>
      </c>
    </row>
    <row r="51" spans="1:3" x14ac:dyDescent="0.25">
      <c r="A51" s="249" t="s">
        <v>1278</v>
      </c>
      <c r="B51" s="1086">
        <f>B44</f>
        <v>1.053639846743295</v>
      </c>
    </row>
    <row r="52" spans="1:3" x14ac:dyDescent="0.25">
      <c r="A52" s="1087" t="s">
        <v>930</v>
      </c>
    </row>
    <row r="53" spans="1:3" ht="43.5" x14ac:dyDescent="0.25">
      <c r="A53" s="1088" t="s">
        <v>931</v>
      </c>
      <c r="B53" s="1089" t="s">
        <v>932</v>
      </c>
      <c r="C53" s="1090"/>
    </row>
    <row r="54" spans="1:3" x14ac:dyDescent="0.25">
      <c r="A54" s="1091"/>
      <c r="B54" s="1092" t="s">
        <v>964</v>
      </c>
      <c r="C54" s="1092" t="s">
        <v>925</v>
      </c>
    </row>
    <row r="55" spans="1:3" ht="22.5" x14ac:dyDescent="0.25">
      <c r="A55" s="1093" t="s">
        <v>933</v>
      </c>
      <c r="B55" s="1092">
        <v>0.4</v>
      </c>
      <c r="C55" s="1092"/>
    </row>
    <row r="56" spans="1:3" ht="22.5" x14ac:dyDescent="0.25">
      <c r="A56" s="1093" t="s">
        <v>934</v>
      </c>
      <c r="B56" s="1092">
        <v>0.44</v>
      </c>
      <c r="C56" s="1094">
        <v>0.34</v>
      </c>
    </row>
    <row r="57" spans="1:3" ht="22.5" x14ac:dyDescent="0.25">
      <c r="A57" s="1095" t="s">
        <v>935</v>
      </c>
      <c r="B57" s="1096"/>
      <c r="C57" s="1097"/>
    </row>
    <row r="58" spans="1:3" ht="24.75" customHeight="1" x14ac:dyDescent="0.25">
      <c r="A58" s="1098" t="s">
        <v>936</v>
      </c>
      <c r="B58" s="1099" t="s">
        <v>938</v>
      </c>
      <c r="C58" s="1100"/>
    </row>
    <row r="59" spans="1:3" x14ac:dyDescent="0.25">
      <c r="A59" s="1098" t="s">
        <v>937</v>
      </c>
      <c r="B59" s="1099" t="s">
        <v>939</v>
      </c>
      <c r="C59" s="1100"/>
    </row>
    <row r="60" spans="1:3" ht="22.5" customHeight="1" x14ac:dyDescent="0.25">
      <c r="A60" s="1093" t="s">
        <v>940</v>
      </c>
      <c r="B60" s="1101" t="s">
        <v>938</v>
      </c>
      <c r="C60" s="1102"/>
    </row>
    <row r="61" spans="1:3" ht="22.5" x14ac:dyDescent="0.25">
      <c r="A61" s="1093" t="s">
        <v>941</v>
      </c>
      <c r="B61" s="1092">
        <v>0.36</v>
      </c>
      <c r="C61" s="1092"/>
    </row>
    <row r="62" spans="1:3" ht="22.5" x14ac:dyDescent="0.25">
      <c r="A62" s="1093" t="s">
        <v>942</v>
      </c>
      <c r="B62" s="1092">
        <v>0.52</v>
      </c>
      <c r="C62" s="1092"/>
    </row>
    <row r="63" spans="1:3" ht="25.5" customHeight="1" x14ac:dyDescent="0.25">
      <c r="A63" s="1093" t="s">
        <v>943</v>
      </c>
      <c r="B63" s="1092">
        <v>0.55000000000000004</v>
      </c>
      <c r="C63" s="1092">
        <v>0.46</v>
      </c>
    </row>
    <row r="64" spans="1:3" x14ac:dyDescent="0.25">
      <c r="A64" s="1103" t="s">
        <v>944</v>
      </c>
      <c r="B64" s="1104"/>
      <c r="C64" s="1104"/>
    </row>
    <row r="65" spans="1:3" x14ac:dyDescent="0.25">
      <c r="A65" s="1105" t="s">
        <v>945</v>
      </c>
      <c r="B65" s="1098">
        <v>0.38</v>
      </c>
      <c r="C65" s="1098">
        <v>0.34</v>
      </c>
    </row>
    <row r="66" spans="1:3" x14ac:dyDescent="0.25">
      <c r="A66" s="1105" t="s">
        <v>946</v>
      </c>
      <c r="B66" s="1098">
        <v>0.51</v>
      </c>
      <c r="C66" s="1098">
        <v>0.43</v>
      </c>
    </row>
    <row r="67" spans="1:3" ht="36.75" customHeight="1" x14ac:dyDescent="0.25">
      <c r="A67" s="1106" t="s">
        <v>947</v>
      </c>
      <c r="B67" s="1107">
        <v>0.56000000000000005</v>
      </c>
      <c r="C67" s="1107">
        <v>0.47</v>
      </c>
    </row>
    <row r="68" spans="1:3" ht="36.75" customHeight="1" x14ac:dyDescent="0.25">
      <c r="A68" s="1103" t="s">
        <v>948</v>
      </c>
      <c r="B68" s="1104"/>
      <c r="C68" s="1104"/>
    </row>
    <row r="69" spans="1:3" ht="22.5" x14ac:dyDescent="0.25">
      <c r="A69" s="1105" t="s">
        <v>949</v>
      </c>
      <c r="B69" s="1098">
        <v>0.51</v>
      </c>
      <c r="C69" s="1098">
        <v>0.43</v>
      </c>
    </row>
    <row r="70" spans="1:3" ht="22.5" x14ac:dyDescent="0.25">
      <c r="A70" s="1105" t="s">
        <v>950</v>
      </c>
      <c r="B70" s="1098">
        <v>0.54</v>
      </c>
      <c r="C70" s="1098">
        <v>0.45</v>
      </c>
    </row>
    <row r="71" spans="1:3" x14ac:dyDescent="0.25">
      <c r="A71" s="1105" t="s">
        <v>946</v>
      </c>
      <c r="B71" s="1098">
        <v>0.57999999999999996</v>
      </c>
      <c r="C71" s="1098">
        <v>0.48</v>
      </c>
    </row>
    <row r="72" spans="1:3" x14ac:dyDescent="0.25">
      <c r="A72" s="1105" t="s">
        <v>947</v>
      </c>
      <c r="B72" s="1098">
        <v>0.68</v>
      </c>
      <c r="C72" s="1098">
        <v>0.52</v>
      </c>
    </row>
    <row r="73" spans="1:3" ht="22.5" x14ac:dyDescent="0.25">
      <c r="A73" s="1106" t="s">
        <v>951</v>
      </c>
      <c r="B73" s="1107">
        <v>0.65</v>
      </c>
      <c r="C73" s="1107">
        <v>0.53</v>
      </c>
    </row>
    <row r="74" spans="1:3" ht="22.5" customHeight="1" x14ac:dyDescent="0.25">
      <c r="A74" s="2534" t="s">
        <v>952</v>
      </c>
      <c r="B74" s="2535"/>
      <c r="C74" s="2536"/>
    </row>
    <row r="75" spans="1:3" ht="45" customHeight="1" x14ac:dyDescent="0.25">
      <c r="A75" s="1105" t="s">
        <v>945</v>
      </c>
      <c r="B75" s="1098">
        <v>0.56000000000000005</v>
      </c>
      <c r="C75" s="1098"/>
    </row>
    <row r="76" spans="1:3" ht="56.25" customHeight="1" x14ac:dyDescent="0.25">
      <c r="A76" s="1105" t="s">
        <v>946</v>
      </c>
      <c r="B76" s="1098">
        <v>0.65</v>
      </c>
      <c r="C76" s="1098"/>
    </row>
    <row r="77" spans="1:3" ht="33.75" customHeight="1" x14ac:dyDescent="0.25">
      <c r="A77" s="1105" t="s">
        <v>947</v>
      </c>
      <c r="B77" s="1098">
        <v>0.72</v>
      </c>
      <c r="C77" s="1098"/>
    </row>
    <row r="78" spans="1:3" ht="22.5" x14ac:dyDescent="0.25">
      <c r="A78" s="1105" t="s">
        <v>951</v>
      </c>
      <c r="B78" s="1107">
        <v>0.69</v>
      </c>
      <c r="C78" s="1107"/>
    </row>
    <row r="79" spans="1:3" x14ac:dyDescent="0.25">
      <c r="A79" s="2534" t="s">
        <v>953</v>
      </c>
      <c r="B79" s="2535"/>
      <c r="C79" s="2536"/>
    </row>
    <row r="80" spans="1:3" x14ac:dyDescent="0.25">
      <c r="A80" s="1105" t="s">
        <v>945</v>
      </c>
      <c r="B80" s="1098">
        <v>0.68</v>
      </c>
      <c r="C80" s="1098" t="s">
        <v>746</v>
      </c>
    </row>
    <row r="81" spans="1:15" s="1108" customFormat="1" ht="13.5" customHeight="1" x14ac:dyDescent="0.25">
      <c r="A81" s="1105" t="s">
        <v>946</v>
      </c>
      <c r="B81" s="1098">
        <v>0.74</v>
      </c>
      <c r="C81" s="1098" t="s">
        <v>746</v>
      </c>
      <c r="D81" s="51"/>
      <c r="E81" s="51"/>
      <c r="F81" s="51"/>
      <c r="G81" s="51"/>
      <c r="H81" s="51"/>
      <c r="I81" s="51"/>
      <c r="J81" s="51"/>
      <c r="K81" s="51"/>
      <c r="L81" s="51"/>
      <c r="M81" s="51"/>
      <c r="N81" s="51"/>
      <c r="O81" s="51"/>
    </row>
    <row r="82" spans="1:15" s="1108" customFormat="1" ht="13.5" customHeight="1" x14ac:dyDescent="0.25">
      <c r="A82" s="1105" t="s">
        <v>947</v>
      </c>
      <c r="B82" s="1098">
        <v>0.81</v>
      </c>
      <c r="C82" s="1098" t="s">
        <v>746</v>
      </c>
      <c r="D82" s="51"/>
      <c r="E82" s="51"/>
      <c r="F82" s="51"/>
      <c r="G82" s="51"/>
      <c r="H82" s="51"/>
      <c r="I82" s="51"/>
      <c r="J82" s="51"/>
      <c r="K82" s="51"/>
      <c r="L82" s="51"/>
      <c r="M82" s="51"/>
      <c r="N82" s="51"/>
      <c r="O82" s="51"/>
    </row>
    <row r="83" spans="1:15" s="1108" customFormat="1" ht="13.5" customHeight="1" x14ac:dyDescent="0.25">
      <c r="A83" s="1105" t="s">
        <v>951</v>
      </c>
      <c r="B83" s="1107">
        <v>0.82</v>
      </c>
      <c r="C83" s="1107" t="s">
        <v>746</v>
      </c>
      <c r="D83" s="51"/>
      <c r="E83" s="51"/>
      <c r="F83" s="51"/>
      <c r="G83" s="51"/>
      <c r="H83" s="51"/>
      <c r="I83" s="51"/>
      <c r="J83" s="51"/>
      <c r="K83" s="51"/>
      <c r="L83" s="51"/>
      <c r="M83" s="51"/>
      <c r="N83" s="51"/>
      <c r="O83" s="51"/>
    </row>
    <row r="84" spans="1:15" s="1108" customFormat="1" ht="13.5" customHeight="1" x14ac:dyDescent="0.25">
      <c r="A84" s="1109" t="s">
        <v>954</v>
      </c>
      <c r="B84" s="1092">
        <v>0.7</v>
      </c>
      <c r="C84" s="1092" t="s">
        <v>746</v>
      </c>
      <c r="D84" s="51"/>
      <c r="E84" s="51"/>
      <c r="F84" s="51"/>
      <c r="G84" s="51"/>
      <c r="H84" s="51"/>
      <c r="I84" s="51"/>
      <c r="J84" s="51"/>
      <c r="K84" s="51"/>
      <c r="L84" s="51"/>
      <c r="M84" s="51"/>
      <c r="N84" s="51"/>
      <c r="O84" s="51"/>
    </row>
    <row r="85" spans="1:15" s="1108" customFormat="1" ht="13.5" customHeight="1" x14ac:dyDescent="0.25">
      <c r="A85" s="1093" t="s">
        <v>955</v>
      </c>
      <c r="B85" s="1092">
        <v>0.74</v>
      </c>
      <c r="C85" s="1092" t="s">
        <v>746</v>
      </c>
      <c r="D85" s="51"/>
      <c r="E85" s="51"/>
      <c r="F85" s="51"/>
      <c r="G85" s="51"/>
      <c r="H85" s="51"/>
      <c r="I85" s="51"/>
      <c r="J85" s="51"/>
      <c r="K85" s="51"/>
      <c r="L85" s="51"/>
      <c r="M85" s="51"/>
      <c r="N85" s="51"/>
      <c r="O85" s="51"/>
    </row>
    <row r="86" spans="1:15" s="1108" customFormat="1" ht="13.5" customHeight="1" x14ac:dyDescent="0.25">
      <c r="A86" s="1093" t="s">
        <v>956</v>
      </c>
      <c r="B86" s="1092" t="s">
        <v>957</v>
      </c>
      <c r="C86" s="1092" t="s">
        <v>746</v>
      </c>
      <c r="D86" s="51"/>
      <c r="E86" s="51"/>
      <c r="F86" s="51"/>
      <c r="G86" s="51"/>
      <c r="H86" s="51"/>
      <c r="I86" s="51"/>
      <c r="J86" s="51"/>
      <c r="K86" s="51"/>
      <c r="L86" s="51"/>
      <c r="M86" s="51"/>
      <c r="N86" s="51"/>
      <c r="O86" s="51"/>
    </row>
    <row r="87" spans="1:15" s="1108" customFormat="1" ht="13.5" customHeight="1" x14ac:dyDescent="0.25">
      <c r="A87" s="1110" t="s">
        <v>958</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959</v>
      </c>
      <c r="B89" s="1117"/>
      <c r="C89" s="1118"/>
      <c r="D89" s="51"/>
      <c r="E89" s="51"/>
      <c r="F89" s="51"/>
      <c r="G89" s="51"/>
      <c r="H89" s="51"/>
      <c r="I89" s="51"/>
      <c r="J89" s="51"/>
      <c r="K89" s="51"/>
      <c r="L89" s="51"/>
      <c r="M89" s="51"/>
      <c r="N89" s="51"/>
      <c r="O89" s="51"/>
    </row>
    <row r="90" spans="1:15" s="1108" customFormat="1" ht="13.5" customHeight="1" x14ac:dyDescent="0.25">
      <c r="A90" s="2537" t="s">
        <v>960</v>
      </c>
      <c r="B90" s="2538"/>
      <c r="C90" s="2539"/>
      <c r="D90" s="51"/>
      <c r="E90" s="51"/>
      <c r="F90" s="51"/>
      <c r="G90" s="51"/>
      <c r="H90" s="51"/>
      <c r="I90" s="51"/>
      <c r="J90" s="51"/>
      <c r="K90" s="51"/>
      <c r="L90" s="51"/>
      <c r="M90" s="51"/>
      <c r="N90" s="51"/>
      <c r="O90" s="51"/>
    </row>
    <row r="91" spans="1:15" s="1108" customFormat="1" ht="13.5" customHeight="1" x14ac:dyDescent="0.25">
      <c r="A91" s="2537" t="s">
        <v>961</v>
      </c>
      <c r="B91" s="2538"/>
      <c r="C91" s="2539"/>
      <c r="D91" s="51"/>
      <c r="E91" s="51"/>
      <c r="F91" s="51"/>
      <c r="G91" s="51"/>
      <c r="H91" s="51"/>
      <c r="I91" s="51"/>
      <c r="J91" s="51"/>
      <c r="K91" s="51"/>
      <c r="L91" s="51"/>
      <c r="M91" s="51"/>
      <c r="N91" s="51"/>
      <c r="O91" s="51"/>
    </row>
    <row r="92" spans="1:15" s="1108" customFormat="1" ht="13.5" customHeight="1" x14ac:dyDescent="0.25">
      <c r="A92" s="2537" t="s">
        <v>962</v>
      </c>
      <c r="B92" s="2538"/>
      <c r="C92" s="2539"/>
      <c r="D92" s="51"/>
      <c r="E92" s="51"/>
      <c r="F92" s="51"/>
      <c r="G92" s="51"/>
      <c r="H92" s="51"/>
      <c r="I92" s="51"/>
      <c r="J92" s="51"/>
      <c r="K92" s="51"/>
      <c r="L92" s="51"/>
      <c r="M92" s="51"/>
      <c r="N92" s="51"/>
      <c r="O92" s="51"/>
    </row>
    <row r="93" spans="1:15" s="1108" customFormat="1" ht="13.5" customHeight="1" x14ac:dyDescent="0.25">
      <c r="A93" s="2531" t="s">
        <v>963</v>
      </c>
      <c r="B93" s="2532"/>
      <c r="C93" s="2533"/>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49" t="s">
        <v>895</v>
      </c>
      <c r="B97" s="2550" t="s">
        <v>988</v>
      </c>
      <c r="C97" s="2550"/>
      <c r="D97" s="2550"/>
      <c r="E97" s="2550" t="s">
        <v>989</v>
      </c>
      <c r="F97" s="2550"/>
      <c r="G97" s="2550"/>
      <c r="H97" s="2550"/>
    </row>
    <row r="98" spans="1:8" s="1108" customFormat="1" ht="13.5" customHeight="1" x14ac:dyDescent="0.25">
      <c r="A98" s="2549"/>
      <c r="B98" s="1119" t="s">
        <v>990</v>
      </c>
      <c r="C98" s="2550" t="s">
        <v>992</v>
      </c>
      <c r="D98" s="2557" t="s">
        <v>993</v>
      </c>
      <c r="E98" s="2550" t="s">
        <v>995</v>
      </c>
      <c r="F98" s="2550"/>
      <c r="G98" s="2550" t="s">
        <v>998</v>
      </c>
      <c r="H98" s="2550"/>
    </row>
    <row r="99" spans="1:8" s="1108" customFormat="1" ht="13.5" customHeight="1" x14ac:dyDescent="0.25">
      <c r="A99" s="2549"/>
      <c r="B99" s="1119" t="s">
        <v>991</v>
      </c>
      <c r="C99" s="2550"/>
      <c r="D99" s="2558"/>
      <c r="E99" s="2550" t="s">
        <v>996</v>
      </c>
      <c r="F99" s="2550"/>
      <c r="G99" s="2550"/>
      <c r="H99" s="2550"/>
    </row>
    <row r="100" spans="1:8" s="1108" customFormat="1" ht="13.5" customHeight="1" x14ac:dyDescent="0.25">
      <c r="A100" s="2549"/>
      <c r="B100" s="1120"/>
      <c r="C100" s="2550"/>
      <c r="D100" s="2559"/>
      <c r="E100" s="2550" t="s">
        <v>997</v>
      </c>
      <c r="F100" s="2550"/>
      <c r="G100" s="2550"/>
      <c r="H100" s="2550"/>
    </row>
    <row r="101" spans="1:8" s="1108" customFormat="1" ht="13.5" customHeight="1" x14ac:dyDescent="0.25">
      <c r="A101" s="2549"/>
      <c r="B101" s="1120"/>
      <c r="C101" s="2550"/>
      <c r="D101" s="1119" t="s">
        <v>994</v>
      </c>
      <c r="E101" s="1119" t="s">
        <v>563</v>
      </c>
      <c r="F101" s="1119" t="s">
        <v>918</v>
      </c>
      <c r="G101" s="1119" t="s">
        <v>563</v>
      </c>
      <c r="H101" s="1121" t="s">
        <v>918</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52" t="s">
        <v>999</v>
      </c>
      <c r="B103" s="2552"/>
      <c r="C103" s="2552"/>
      <c r="D103" s="2552"/>
      <c r="E103" s="2552"/>
      <c r="F103" s="2552"/>
      <c r="G103" s="2552"/>
      <c r="H103" s="2552"/>
    </row>
    <row r="104" spans="1:8" s="1108" customFormat="1" ht="13.5" customHeight="1" x14ac:dyDescent="0.25">
      <c r="A104" s="2551" t="s">
        <v>1000</v>
      </c>
      <c r="B104" s="2551"/>
      <c r="C104" s="2551"/>
      <c r="D104" s="2551"/>
      <c r="E104" s="2551"/>
      <c r="F104" s="2551"/>
      <c r="G104" s="2551"/>
      <c r="H104" s="2551"/>
    </row>
    <row r="105" spans="1:8" s="1108" customFormat="1" ht="13.5" customHeight="1" x14ac:dyDescent="0.25">
      <c r="A105" s="1119" t="s">
        <v>1001</v>
      </c>
      <c r="B105" s="1119">
        <v>150</v>
      </c>
      <c r="C105" s="1119">
        <v>1.34</v>
      </c>
      <c r="D105" s="1119">
        <v>0.05</v>
      </c>
      <c r="E105" s="1119">
        <v>1</v>
      </c>
      <c r="F105" s="1119">
        <v>5</v>
      </c>
      <c r="G105" s="1119">
        <v>5.1999999999999998E-2</v>
      </c>
      <c r="H105" s="1119">
        <v>0.06</v>
      </c>
    </row>
    <row r="106" spans="1:8" s="1108" customFormat="1" ht="13.5" customHeight="1" x14ac:dyDescent="0.25">
      <c r="A106" s="1119" t="s">
        <v>1001</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1003</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1004</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1005</v>
      </c>
      <c r="B109" s="1119">
        <v>24</v>
      </c>
      <c r="C109" s="1119">
        <v>1.34</v>
      </c>
      <c r="D109" s="1119">
        <v>0.04</v>
      </c>
      <c r="E109" s="1119">
        <v>2</v>
      </c>
      <c r="F109" s="1119">
        <v>10</v>
      </c>
      <c r="G109" s="1119">
        <v>0.04</v>
      </c>
      <c r="H109" s="1119">
        <v>4.1000000000000002E-2</v>
      </c>
    </row>
    <row r="110" spans="1:8" s="1108" customFormat="1" ht="13.5" customHeight="1" x14ac:dyDescent="0.25">
      <c r="A110" s="1119" t="s">
        <v>1006</v>
      </c>
      <c r="B110" s="1119">
        <v>25</v>
      </c>
      <c r="C110" s="1119">
        <v>1.34</v>
      </c>
      <c r="D110" s="1119">
        <v>2.9000000000000001E-2</v>
      </c>
      <c r="E110" s="1119">
        <v>2</v>
      </c>
      <c r="F110" s="1119">
        <v>10</v>
      </c>
      <c r="G110" s="1119">
        <v>3.1E-2</v>
      </c>
      <c r="H110" s="1119">
        <v>3.1E-2</v>
      </c>
    </row>
    <row r="111" spans="1:8" s="1108" customFormat="1" ht="13.5" customHeight="1" x14ac:dyDescent="0.25">
      <c r="A111" s="1119" t="s">
        <v>1007</v>
      </c>
      <c r="B111" s="1119">
        <v>28</v>
      </c>
      <c r="C111" s="1119">
        <v>1.34</v>
      </c>
      <c r="D111" s="1119">
        <v>2.9000000000000001E-2</v>
      </c>
      <c r="E111" s="1119">
        <v>2</v>
      </c>
      <c r="F111" s="1119">
        <v>10</v>
      </c>
      <c r="G111" s="1119">
        <v>3.1E-2</v>
      </c>
      <c r="H111" s="1119">
        <v>3.1E-2</v>
      </c>
    </row>
    <row r="112" spans="1:8" s="1108" customFormat="1" ht="13.5" customHeight="1" x14ac:dyDescent="0.25">
      <c r="A112" s="1119" t="s">
        <v>1008</v>
      </c>
      <c r="B112" s="1119">
        <v>33</v>
      </c>
      <c r="C112" s="1119">
        <v>1.34</v>
      </c>
      <c r="D112" s="1119">
        <v>2.9000000000000001E-2</v>
      </c>
      <c r="E112" s="1119">
        <v>2</v>
      </c>
      <c r="F112" s="1119">
        <v>10</v>
      </c>
      <c r="G112" s="1119">
        <v>3.1E-2</v>
      </c>
      <c r="H112" s="1119">
        <v>3.1E-2</v>
      </c>
    </row>
    <row r="113" spans="1:8" s="1108" customFormat="1" ht="13.5" customHeight="1" x14ac:dyDescent="0.25">
      <c r="A113" s="1119" t="s">
        <v>1009</v>
      </c>
      <c r="B113" s="1119">
        <v>35</v>
      </c>
      <c r="C113" s="1119">
        <v>1.34</v>
      </c>
      <c r="D113" s="1119">
        <v>0.03</v>
      </c>
      <c r="E113" s="1119">
        <v>2</v>
      </c>
      <c r="F113" s="1119">
        <v>10</v>
      </c>
      <c r="G113" s="1119">
        <v>3.1E-2</v>
      </c>
      <c r="H113" s="1119">
        <v>3.1E-2</v>
      </c>
    </row>
    <row r="114" spans="1:8" s="1108" customFormat="1" ht="13.5" customHeight="1" x14ac:dyDescent="0.25">
      <c r="A114" s="1119" t="s">
        <v>1010</v>
      </c>
      <c r="B114" s="1119">
        <v>45</v>
      </c>
      <c r="C114" s="1119">
        <v>1.34</v>
      </c>
      <c r="D114" s="1119">
        <v>0.03</v>
      </c>
      <c r="E114" s="1119">
        <v>2</v>
      </c>
      <c r="F114" s="1119">
        <v>10</v>
      </c>
      <c r="G114" s="1119">
        <v>3.1E-2</v>
      </c>
      <c r="H114" s="1119">
        <v>3.1E-2</v>
      </c>
    </row>
    <row r="115" spans="1:8" s="1108" customFormat="1" ht="13.5" customHeight="1" x14ac:dyDescent="0.25">
      <c r="A115" s="1119" t="s">
        <v>1011</v>
      </c>
      <c r="B115" s="1119">
        <v>15</v>
      </c>
      <c r="C115" s="1119">
        <v>1.34</v>
      </c>
      <c r="D115" s="1119">
        <v>3.9E-2</v>
      </c>
      <c r="E115" s="1119">
        <v>2</v>
      </c>
      <c r="F115" s="1119">
        <v>10</v>
      </c>
      <c r="G115" s="1119">
        <v>0.04</v>
      </c>
      <c r="H115" s="1119">
        <v>4.3999999999999997E-2</v>
      </c>
    </row>
    <row r="116" spans="1:8" s="1108" customFormat="1" ht="13.5" customHeight="1" x14ac:dyDescent="0.25">
      <c r="A116" s="1119" t="s">
        <v>1012</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1013</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1014</v>
      </c>
      <c r="B118" s="1119">
        <v>28</v>
      </c>
      <c r="C118" s="1123">
        <v>1.45</v>
      </c>
      <c r="D118" s="1124">
        <v>2.9000000000000001E-2</v>
      </c>
      <c r="E118" s="1119">
        <v>2</v>
      </c>
      <c r="F118" s="1119">
        <v>10</v>
      </c>
      <c r="G118" s="1119">
        <v>0.03</v>
      </c>
      <c r="H118" s="1119">
        <v>3.1E-2</v>
      </c>
    </row>
    <row r="119" spans="1:8" s="1108" customFormat="1" ht="13.5" customHeight="1" x14ac:dyDescent="0.25">
      <c r="A119" s="1119" t="s">
        <v>1015</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1016</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1017</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1018</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1019</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1020</v>
      </c>
      <c r="B124" s="1119">
        <v>25</v>
      </c>
      <c r="C124" s="1123">
        <v>1.45</v>
      </c>
      <c r="D124" s="1124">
        <v>2.9000000000000001E-2</v>
      </c>
      <c r="E124" s="1119">
        <v>2</v>
      </c>
      <c r="F124" s="1119">
        <v>10</v>
      </c>
      <c r="G124" s="1119">
        <v>3.1E-2</v>
      </c>
      <c r="H124" s="1119">
        <v>3.1E-2</v>
      </c>
    </row>
    <row r="125" spans="1:8" s="1108" customFormat="1" ht="13.5" customHeight="1" x14ac:dyDescent="0.25">
      <c r="A125" s="1119" t="s">
        <v>1021</v>
      </c>
      <c r="B125" s="1119">
        <v>125</v>
      </c>
      <c r="C125" s="1123">
        <v>1.26</v>
      </c>
      <c r="D125" s="1124">
        <v>5.1999999999999998E-2</v>
      </c>
      <c r="E125" s="1119">
        <v>2</v>
      </c>
      <c r="F125" s="1119">
        <v>10</v>
      </c>
      <c r="G125" s="1119">
        <v>0.06</v>
      </c>
      <c r="H125" s="1119">
        <v>6.4000000000000001E-2</v>
      </c>
    </row>
    <row r="126" spans="1:8" s="1108" customFormat="1" ht="13.5" customHeight="1" x14ac:dyDescent="0.25">
      <c r="A126" s="2550" t="s">
        <v>1005</v>
      </c>
      <c r="B126" s="1119" t="s">
        <v>1022</v>
      </c>
      <c r="C126" s="2553">
        <v>1.26</v>
      </c>
      <c r="D126" s="2554">
        <v>4.1000000000000002E-2</v>
      </c>
      <c r="E126" s="2550">
        <v>2</v>
      </c>
      <c r="F126" s="2550">
        <v>10</v>
      </c>
      <c r="G126" s="2550">
        <v>0.05</v>
      </c>
      <c r="H126" s="2550">
        <v>5.1999999999999998E-2</v>
      </c>
    </row>
    <row r="127" spans="1:8" s="1108" customFormat="1" ht="13.5" customHeight="1" x14ac:dyDescent="0.25">
      <c r="A127" s="2550"/>
      <c r="B127" s="1119" t="s">
        <v>1023</v>
      </c>
      <c r="C127" s="2553"/>
      <c r="D127" s="2554"/>
      <c r="E127" s="2550"/>
      <c r="F127" s="2550"/>
      <c r="G127" s="2550"/>
      <c r="H127" s="2550"/>
    </row>
    <row r="128" spans="1:8" s="1108" customFormat="1" ht="13.5" customHeight="1" x14ac:dyDescent="0.25">
      <c r="A128" s="1119" t="s">
        <v>1024</v>
      </c>
      <c r="B128" s="1119">
        <v>80</v>
      </c>
      <c r="C128" s="1123">
        <v>1.47</v>
      </c>
      <c r="D128" s="1124">
        <v>4.1000000000000002E-2</v>
      </c>
      <c r="E128" s="1119">
        <v>2</v>
      </c>
      <c r="F128" s="1119">
        <v>5</v>
      </c>
      <c r="G128" s="1119">
        <v>0.05</v>
      </c>
      <c r="H128" s="1119">
        <v>0.05</v>
      </c>
    </row>
    <row r="129" spans="1:8" s="1108" customFormat="1" ht="13.5" customHeight="1" x14ac:dyDescent="0.25">
      <c r="A129" s="1122" t="s">
        <v>1002</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1002</v>
      </c>
      <c r="B130" s="1119">
        <v>40</v>
      </c>
      <c r="C130" s="1123">
        <v>1.47</v>
      </c>
      <c r="D130" s="1124">
        <v>2.9000000000000001E-2</v>
      </c>
      <c r="E130" s="1119">
        <v>2</v>
      </c>
      <c r="F130" s="1119">
        <v>5</v>
      </c>
      <c r="G130" s="1119">
        <v>0.04</v>
      </c>
      <c r="H130" s="1119">
        <v>0.04</v>
      </c>
    </row>
    <row r="131" spans="1:8" s="1108" customFormat="1" ht="29.25" customHeight="1" x14ac:dyDescent="0.25">
      <c r="A131" s="1119" t="s">
        <v>1025</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1005</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1002</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1026</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1002</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1027</v>
      </c>
      <c r="B136" s="1119">
        <v>300</v>
      </c>
      <c r="C136" s="1123">
        <v>1.05</v>
      </c>
      <c r="D136" s="1124">
        <v>7.5999999999999998E-2</v>
      </c>
      <c r="E136" s="1119">
        <v>3</v>
      </c>
      <c r="F136" s="1119">
        <v>12</v>
      </c>
      <c r="G136" s="1119">
        <v>0.08</v>
      </c>
      <c r="H136" s="1119">
        <v>0.12</v>
      </c>
    </row>
    <row r="137" spans="1:8" s="1108" customFormat="1" ht="13.5" customHeight="1" x14ac:dyDescent="0.25">
      <c r="A137" s="1119" t="s">
        <v>1005</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1028</v>
      </c>
      <c r="B138" s="1119">
        <v>80</v>
      </c>
      <c r="C138" s="1123">
        <v>1.806</v>
      </c>
      <c r="D138" s="1124">
        <v>3.4000000000000002E-2</v>
      </c>
      <c r="E138" s="1119">
        <v>5</v>
      </c>
      <c r="F138" s="1119">
        <v>15</v>
      </c>
      <c r="G138" s="1119">
        <v>0.04</v>
      </c>
      <c r="H138" s="1119">
        <v>5.3999999999999999E-2</v>
      </c>
    </row>
    <row r="139" spans="1:8" s="1108" customFormat="1" ht="13.5" customHeight="1" x14ac:dyDescent="0.25">
      <c r="A139" s="2550" t="s">
        <v>1029</v>
      </c>
      <c r="B139" s="1119" t="s">
        <v>1030</v>
      </c>
      <c r="C139" s="1123">
        <v>1.806</v>
      </c>
      <c r="D139" s="1124">
        <v>3.9E-2</v>
      </c>
      <c r="E139" s="1119">
        <v>0</v>
      </c>
      <c r="F139" s="1119">
        <v>0</v>
      </c>
      <c r="G139" s="1119">
        <v>3.9E-2</v>
      </c>
      <c r="H139" s="1119" t="s">
        <v>1035</v>
      </c>
    </row>
    <row r="140" spans="1:8" s="1108" customFormat="1" ht="13.5" customHeight="1" x14ac:dyDescent="0.25">
      <c r="A140" s="2550"/>
      <c r="B140" s="1119" t="s">
        <v>1031</v>
      </c>
      <c r="C140" s="1123" t="s">
        <v>1032</v>
      </c>
      <c r="D140" s="1124" t="s">
        <v>1033</v>
      </c>
      <c r="E140" s="1119" t="s">
        <v>1034</v>
      </c>
      <c r="F140" s="1119" t="s">
        <v>1034</v>
      </c>
      <c r="G140" s="1119" t="s">
        <v>1033</v>
      </c>
      <c r="H140" s="1119">
        <v>4.1000000000000002E-2</v>
      </c>
    </row>
    <row r="141" spans="1:8" s="1108" customFormat="1" ht="13.5" customHeight="1" x14ac:dyDescent="0.25">
      <c r="A141" s="1119" t="s">
        <v>1036</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1037</v>
      </c>
      <c r="B142" s="1119">
        <v>45</v>
      </c>
      <c r="C142" s="1123">
        <v>1.53</v>
      </c>
      <c r="D142" s="1124">
        <v>0.03</v>
      </c>
      <c r="E142" s="1119">
        <v>2</v>
      </c>
      <c r="F142" s="1119">
        <v>3</v>
      </c>
      <c r="G142" s="1119">
        <v>3.1E-2</v>
      </c>
      <c r="H142" s="1119">
        <v>3.2000000000000001E-2</v>
      </c>
    </row>
    <row r="143" spans="1:8" s="1108" customFormat="1" ht="13.5" customHeight="1" x14ac:dyDescent="0.25">
      <c r="A143" s="2551" t="s">
        <v>1038</v>
      </c>
      <c r="B143" s="2551"/>
      <c r="C143" s="2551"/>
      <c r="D143" s="2551"/>
      <c r="E143" s="2551"/>
      <c r="F143" s="2551"/>
      <c r="G143" s="2551"/>
      <c r="H143" s="2551"/>
    </row>
    <row r="144" spans="1:8" s="1108" customFormat="1" ht="13.5" customHeight="1" x14ac:dyDescent="0.25">
      <c r="A144" s="1119" t="s">
        <v>1039</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1040</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1005</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1041</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1005</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1002</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1002</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1042</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1005</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1002</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1002</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1002</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1002</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1002</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1043</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1005</v>
      </c>
      <c r="B159" s="1119" t="s">
        <v>1044</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1002</v>
      </c>
      <c r="B160" s="1119" t="s">
        <v>1045</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1002</v>
      </c>
      <c r="B161" s="1119" t="s">
        <v>1046</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1002</v>
      </c>
      <c r="B163" s="1119" t="s">
        <v>1047</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1048</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1049</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1005</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1050</v>
      </c>
      <c r="B167" s="1119">
        <v>45</v>
      </c>
      <c r="C167" s="1123">
        <v>0.84</v>
      </c>
      <c r="D167" s="1124">
        <v>4.7E-2</v>
      </c>
      <c r="E167" s="1119">
        <v>2</v>
      </c>
      <c r="F167" s="1119">
        <v>5</v>
      </c>
      <c r="G167" s="1119">
        <v>0.06</v>
      </c>
      <c r="H167" s="1119">
        <v>6.4000000000000001E-2</v>
      </c>
    </row>
    <row r="168" spans="1:8" s="1108" customFormat="1" ht="13.5" customHeight="1" x14ac:dyDescent="0.25">
      <c r="A168" s="1119" t="s">
        <v>1051</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1052</v>
      </c>
      <c r="B169" s="1119">
        <v>25</v>
      </c>
      <c r="C169" s="1123">
        <v>0.84</v>
      </c>
      <c r="D169" s="1124">
        <v>0.04</v>
      </c>
      <c r="E169" s="1119">
        <v>2</v>
      </c>
      <c r="F169" s="1119">
        <v>5</v>
      </c>
      <c r="G169" s="1119">
        <v>4.2999999999999997E-2</v>
      </c>
      <c r="H169" s="1119">
        <v>0.05</v>
      </c>
    </row>
    <row r="170" spans="1:8" s="1108" customFormat="1" ht="13.5" customHeight="1" x14ac:dyDescent="0.25">
      <c r="A170" s="1119" t="s">
        <v>1005</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1002</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1002</v>
      </c>
      <c r="B172" s="1119">
        <v>11</v>
      </c>
      <c r="C172" s="1123">
        <v>0.84</v>
      </c>
      <c r="D172" s="1124">
        <v>4.8000000000000001E-2</v>
      </c>
      <c r="E172" s="1119">
        <v>2</v>
      </c>
      <c r="F172" s="1119">
        <v>5</v>
      </c>
      <c r="G172" s="1119">
        <v>0.05</v>
      </c>
      <c r="H172" s="1119">
        <v>5.5E-2</v>
      </c>
    </row>
    <row r="173" spans="1:8" s="1108" customFormat="1" ht="13.5" customHeight="1" x14ac:dyDescent="0.25">
      <c r="A173" s="1119" t="s">
        <v>1053</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1005</v>
      </c>
      <c r="B174" s="1119">
        <v>75</v>
      </c>
      <c r="C174" s="1123">
        <v>0.84</v>
      </c>
      <c r="D174" s="1124">
        <v>0.04</v>
      </c>
      <c r="E174" s="1119">
        <v>2</v>
      </c>
      <c r="F174" s="1119">
        <v>5</v>
      </c>
      <c r="G174" s="1119">
        <v>4.2000000000000003E-2</v>
      </c>
      <c r="H174" s="1119">
        <v>4.7E-2</v>
      </c>
    </row>
    <row r="175" spans="1:8" s="1108" customFormat="1" ht="13.5" customHeight="1" x14ac:dyDescent="0.25">
      <c r="A175" s="1123" t="s">
        <v>1002</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1002</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1002</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1002</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1002</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1002</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1002</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1054</v>
      </c>
      <c r="B182" s="1119">
        <v>400</v>
      </c>
      <c r="C182" s="1123">
        <v>0.84</v>
      </c>
      <c r="D182" s="1124">
        <v>0.11</v>
      </c>
      <c r="E182" s="1119">
        <v>1</v>
      </c>
      <c r="F182" s="1119">
        <v>2</v>
      </c>
      <c r="G182" s="1119">
        <v>0.12</v>
      </c>
      <c r="H182" s="1119">
        <v>0.14000000000000001</v>
      </c>
    </row>
    <row r="183" spans="1:8" s="1108" customFormat="1" ht="13.5" customHeight="1" x14ac:dyDescent="0.25">
      <c r="A183" s="1119" t="s">
        <v>1005</v>
      </c>
      <c r="B183" s="1119">
        <v>300</v>
      </c>
      <c r="C183" s="1123">
        <v>0.84</v>
      </c>
      <c r="D183" s="1124">
        <v>0.09</v>
      </c>
      <c r="E183" s="1119">
        <v>1</v>
      </c>
      <c r="F183" s="1119">
        <v>2</v>
      </c>
      <c r="G183" s="1119">
        <v>0.11</v>
      </c>
      <c r="H183" s="1119">
        <v>0.12</v>
      </c>
    </row>
    <row r="184" spans="1:8" s="1108" customFormat="1" ht="13.5" customHeight="1" x14ac:dyDescent="0.25">
      <c r="A184" s="1123" t="s">
        <v>1002</v>
      </c>
      <c r="B184" s="1119">
        <v>200</v>
      </c>
      <c r="C184" s="1123">
        <v>0.84</v>
      </c>
      <c r="D184" s="1124">
        <v>7.0000000000000007E-2</v>
      </c>
      <c r="E184" s="1119">
        <v>1</v>
      </c>
      <c r="F184" s="1119">
        <v>2</v>
      </c>
      <c r="G184" s="1119">
        <v>0.08</v>
      </c>
      <c r="H184" s="1119">
        <v>0.09</v>
      </c>
    </row>
    <row r="185" spans="1:8" s="1108" customFormat="1" ht="13.5" customHeight="1" x14ac:dyDescent="0.25">
      <c r="A185" s="2551" t="s">
        <v>1055</v>
      </c>
      <c r="B185" s="2551"/>
      <c r="C185" s="2551"/>
      <c r="D185" s="2551"/>
      <c r="E185" s="2551"/>
      <c r="F185" s="2551"/>
      <c r="G185" s="2551"/>
      <c r="H185" s="2551"/>
    </row>
    <row r="186" spans="1:8" s="1108" customFormat="1" ht="13.5" customHeight="1" x14ac:dyDescent="0.25">
      <c r="A186" s="1119" t="s">
        <v>1056</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1005</v>
      </c>
      <c r="B187" s="1119">
        <v>800</v>
      </c>
      <c r="C187" s="1123">
        <v>2.2999999999999998</v>
      </c>
      <c r="D187" s="1124">
        <v>0.13</v>
      </c>
      <c r="E187" s="1119">
        <v>10</v>
      </c>
      <c r="F187" s="1119">
        <v>12</v>
      </c>
      <c r="G187" s="1119">
        <v>0.19</v>
      </c>
      <c r="H187" s="1119">
        <v>0.23</v>
      </c>
    </row>
    <row r="188" spans="1:8" s="1108" customFormat="1" ht="13.5" customHeight="1" x14ac:dyDescent="0.25">
      <c r="A188" s="1123" t="s">
        <v>1002</v>
      </c>
      <c r="B188" s="1119">
        <v>600</v>
      </c>
      <c r="C188" s="1123">
        <v>2.2999999999999998</v>
      </c>
      <c r="D188" s="1124">
        <v>0.11</v>
      </c>
      <c r="E188" s="1119">
        <v>10</v>
      </c>
      <c r="F188" s="1119">
        <v>12</v>
      </c>
      <c r="G188" s="1119">
        <v>0.13</v>
      </c>
      <c r="H188" s="1119">
        <v>0.16</v>
      </c>
    </row>
    <row r="189" spans="1:8" s="1108" customFormat="1" ht="13.5" customHeight="1" x14ac:dyDescent="0.25">
      <c r="A189" s="1123" t="s">
        <v>1002</v>
      </c>
      <c r="B189" s="1119">
        <v>400</v>
      </c>
      <c r="C189" s="1123">
        <v>2.2999999999999998</v>
      </c>
      <c r="D189" s="1124">
        <v>0.08</v>
      </c>
      <c r="E189" s="1119">
        <v>10</v>
      </c>
      <c r="F189" s="1119">
        <v>12</v>
      </c>
      <c r="G189" s="1119">
        <v>0.11</v>
      </c>
      <c r="H189" s="1119">
        <v>0.13</v>
      </c>
    </row>
    <row r="190" spans="1:8" s="1108" customFormat="1" ht="13.5" customHeight="1" x14ac:dyDescent="0.25">
      <c r="A190" s="1119" t="s">
        <v>1057</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1058</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1005</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1002</v>
      </c>
      <c r="B193" s="1119">
        <v>400</v>
      </c>
      <c r="C193" s="1123">
        <v>2.2999999999999998</v>
      </c>
      <c r="D193" s="1124">
        <v>0.08</v>
      </c>
      <c r="E193" s="1119">
        <v>10</v>
      </c>
      <c r="F193" s="1119">
        <v>15</v>
      </c>
      <c r="G193" s="1119">
        <v>0.13</v>
      </c>
      <c r="H193" s="1119">
        <v>0.16</v>
      </c>
    </row>
    <row r="194" spans="1:8" s="1108" customFormat="1" ht="13.5" customHeight="1" x14ac:dyDescent="0.25">
      <c r="A194" s="1119" t="s">
        <v>1059</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1005</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1060</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1005</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1061</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1062</v>
      </c>
      <c r="B199" s="1119">
        <v>1350</v>
      </c>
      <c r="C199" s="1123">
        <v>0.84</v>
      </c>
      <c r="D199" s="1124">
        <v>0.35</v>
      </c>
      <c r="E199" s="1119">
        <v>4</v>
      </c>
      <c r="F199" s="1119">
        <v>6</v>
      </c>
      <c r="G199" s="1119">
        <v>0.5</v>
      </c>
      <c r="H199" s="1119">
        <v>0.56000000000000005</v>
      </c>
    </row>
    <row r="200" spans="1:8" s="1108" customFormat="1" ht="13.5" customHeight="1" x14ac:dyDescent="0.25">
      <c r="A200" s="1119" t="s">
        <v>1005</v>
      </c>
      <c r="B200" s="1119">
        <v>1100</v>
      </c>
      <c r="C200" s="1123">
        <v>0.84</v>
      </c>
      <c r="D200" s="1124">
        <v>0.23</v>
      </c>
      <c r="E200" s="1119">
        <v>4</v>
      </c>
      <c r="F200" s="1119">
        <v>6</v>
      </c>
      <c r="G200" s="1119">
        <v>0.35</v>
      </c>
      <c r="H200" s="1119">
        <v>0.41</v>
      </c>
    </row>
    <row r="201" spans="1:8" s="1108" customFormat="1" ht="13.5" customHeight="1" x14ac:dyDescent="0.25">
      <c r="A201" s="1119" t="s">
        <v>1063</v>
      </c>
      <c r="B201" s="1119">
        <v>1050</v>
      </c>
      <c r="C201" s="1123">
        <v>0.84</v>
      </c>
      <c r="D201" s="1124">
        <v>0.15</v>
      </c>
      <c r="E201" s="1119">
        <v>4</v>
      </c>
      <c r="F201" s="1119">
        <v>6</v>
      </c>
      <c r="G201" s="1119">
        <v>0.34</v>
      </c>
      <c r="H201" s="1119">
        <v>0.36</v>
      </c>
    </row>
    <row r="202" spans="1:8" s="1108" customFormat="1" ht="13.5" customHeight="1" x14ac:dyDescent="0.25">
      <c r="A202" s="1119" t="s">
        <v>1005</v>
      </c>
      <c r="B202" s="1119">
        <v>800</v>
      </c>
      <c r="C202" s="1123">
        <v>0.84</v>
      </c>
      <c r="D202" s="1124">
        <v>0.15</v>
      </c>
      <c r="E202" s="1119">
        <v>4</v>
      </c>
      <c r="F202" s="1119">
        <v>6</v>
      </c>
      <c r="G202" s="1119">
        <v>0.19</v>
      </c>
      <c r="H202" s="1119">
        <v>0.21</v>
      </c>
    </row>
    <row r="203" spans="1:8" s="1108" customFormat="1" ht="13.5" customHeight="1" x14ac:dyDescent="0.25">
      <c r="A203" s="1119" t="s">
        <v>1064</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1005</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1002</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1002</v>
      </c>
      <c r="B207" s="1119">
        <v>200</v>
      </c>
      <c r="C207" s="1123">
        <v>1.68</v>
      </c>
      <c r="D207" s="1124">
        <v>7.5999999999999998E-2</v>
      </c>
      <c r="E207" s="1119">
        <v>1</v>
      </c>
      <c r="F207" s="1119">
        <v>2</v>
      </c>
      <c r="G207" s="1119">
        <v>7.8E-2</v>
      </c>
      <c r="H207" s="1119">
        <v>0.09</v>
      </c>
    </row>
    <row r="208" spans="1:8" s="1108" customFormat="1" ht="13.5" customHeight="1" x14ac:dyDescent="0.25">
      <c r="A208" s="2551" t="s">
        <v>1065</v>
      </c>
      <c r="B208" s="2551"/>
      <c r="C208" s="2551"/>
      <c r="D208" s="2551"/>
      <c r="E208" s="2551"/>
      <c r="F208" s="2551"/>
      <c r="G208" s="2551"/>
      <c r="H208" s="2551"/>
    </row>
    <row r="209" spans="1:8" s="1108" customFormat="1" ht="13.5" customHeight="1" x14ac:dyDescent="0.25">
      <c r="A209" s="1119" t="s">
        <v>1066</v>
      </c>
      <c r="B209" s="1119">
        <v>600</v>
      </c>
      <c r="C209" s="1123">
        <v>0.84</v>
      </c>
      <c r="D209" s="1124">
        <v>0.14000000000000001</v>
      </c>
      <c r="E209" s="1119">
        <v>2</v>
      </c>
      <c r="F209" s="1119">
        <v>3</v>
      </c>
      <c r="G209" s="1119">
        <v>0.17</v>
      </c>
      <c r="H209" s="1119">
        <v>0.19</v>
      </c>
    </row>
    <row r="210" spans="1:8" s="1108" customFormat="1" ht="13.5" customHeight="1" x14ac:dyDescent="0.25">
      <c r="A210" s="1119" t="s">
        <v>1005</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1002</v>
      </c>
      <c r="B211" s="1119">
        <v>450</v>
      </c>
      <c r="C211" s="1123">
        <v>0.84</v>
      </c>
      <c r="D211" s="1124">
        <v>0.13</v>
      </c>
      <c r="E211" s="1119">
        <v>2</v>
      </c>
      <c r="F211" s="1119">
        <v>3</v>
      </c>
      <c r="G211" s="1119">
        <v>0.14000000000000001</v>
      </c>
      <c r="H211" s="1119">
        <v>0.155</v>
      </c>
    </row>
    <row r="212" spans="1:8" s="1108" customFormat="1" ht="13.5" customHeight="1" x14ac:dyDescent="0.25">
      <c r="A212" s="1123" t="s">
        <v>1002</v>
      </c>
      <c r="B212" s="1119">
        <v>400</v>
      </c>
      <c r="C212" s="1123">
        <v>0.84</v>
      </c>
      <c r="D212" s="1124">
        <v>0.12</v>
      </c>
      <c r="E212" s="1119">
        <v>2</v>
      </c>
      <c r="F212" s="1119">
        <v>3</v>
      </c>
      <c r="G212" s="1119">
        <v>0.13</v>
      </c>
      <c r="H212" s="1119">
        <v>0.14499999999999999</v>
      </c>
    </row>
    <row r="213" spans="1:8" s="1108" customFormat="1" ht="13.5" customHeight="1" x14ac:dyDescent="0.25">
      <c r="A213" s="1123" t="s">
        <v>1002</v>
      </c>
      <c r="B213" s="1126">
        <v>350</v>
      </c>
      <c r="C213" s="1123">
        <v>0.84</v>
      </c>
      <c r="D213" s="1124">
        <v>0.115</v>
      </c>
      <c r="E213" s="1119">
        <v>2</v>
      </c>
      <c r="F213" s="1119">
        <v>3</v>
      </c>
      <c r="G213" s="1119">
        <v>0.125</v>
      </c>
      <c r="H213" s="1119">
        <v>0.14000000000000001</v>
      </c>
    </row>
    <row r="214" spans="1:8" s="1108" customFormat="1" ht="13.5" customHeight="1" x14ac:dyDescent="0.25">
      <c r="A214" s="1123" t="s">
        <v>1002</v>
      </c>
      <c r="B214" s="1126">
        <v>300</v>
      </c>
      <c r="C214" s="1123">
        <v>0.84</v>
      </c>
      <c r="D214" s="1124">
        <v>0.108</v>
      </c>
      <c r="E214" s="1119">
        <v>2</v>
      </c>
      <c r="F214" s="1119">
        <v>3</v>
      </c>
      <c r="G214" s="1119">
        <v>0.12</v>
      </c>
      <c r="H214" s="1119">
        <v>0.13</v>
      </c>
    </row>
    <row r="215" spans="1:8" s="1108" customFormat="1" ht="13.5" customHeight="1" x14ac:dyDescent="0.25">
      <c r="A215" s="1119" t="s">
        <v>1066</v>
      </c>
      <c r="B215" s="1119">
        <v>250</v>
      </c>
      <c r="C215" s="1123">
        <v>0.84</v>
      </c>
      <c r="D215" s="1124">
        <v>9.9000000000000005E-2</v>
      </c>
      <c r="E215" s="1119">
        <v>2</v>
      </c>
      <c r="F215" s="1119">
        <v>3</v>
      </c>
      <c r="G215" s="1119">
        <v>0.11</v>
      </c>
      <c r="H215" s="1119">
        <v>0.12</v>
      </c>
    </row>
    <row r="216" spans="1:8" s="1108" customFormat="1" ht="13.5" customHeight="1" x14ac:dyDescent="0.25">
      <c r="A216" s="1119" t="s">
        <v>1067</v>
      </c>
      <c r="B216" s="1126">
        <v>700</v>
      </c>
      <c r="C216" s="1123">
        <v>0.84</v>
      </c>
      <c r="D216" s="1124">
        <v>0.16</v>
      </c>
      <c r="E216" s="1119">
        <v>2</v>
      </c>
      <c r="F216" s="1119">
        <v>4</v>
      </c>
      <c r="G216" s="1119">
        <v>0.18</v>
      </c>
      <c r="H216" s="1119">
        <v>0.21</v>
      </c>
    </row>
    <row r="217" spans="1:8" s="1108" customFormat="1" ht="13.5" customHeight="1" x14ac:dyDescent="0.25">
      <c r="A217" s="1119" t="s">
        <v>1005</v>
      </c>
      <c r="B217" s="1119">
        <v>600</v>
      </c>
      <c r="C217" s="1123">
        <v>0.84</v>
      </c>
      <c r="D217" s="1124">
        <v>0.13</v>
      </c>
      <c r="E217" s="1119">
        <v>2</v>
      </c>
      <c r="F217" s="1119">
        <v>4</v>
      </c>
      <c r="G217" s="1119">
        <v>0.16</v>
      </c>
      <c r="H217" s="1119">
        <v>0.19</v>
      </c>
    </row>
    <row r="218" spans="1:8" s="1108" customFormat="1" ht="13.5" customHeight="1" x14ac:dyDescent="0.25">
      <c r="A218" s="1123" t="s">
        <v>1002</v>
      </c>
      <c r="B218" s="1126">
        <v>500</v>
      </c>
      <c r="C218" s="1123">
        <v>0.84</v>
      </c>
      <c r="D218" s="1124">
        <v>0.12</v>
      </c>
      <c r="E218" s="1119">
        <v>2</v>
      </c>
      <c r="F218" s="1119">
        <v>4</v>
      </c>
      <c r="G218" s="1119">
        <v>0.15</v>
      </c>
      <c r="H218" s="1119">
        <v>0.17499999999999999</v>
      </c>
    </row>
    <row r="219" spans="1:8" s="1108" customFormat="1" ht="13.5" customHeight="1" x14ac:dyDescent="0.25">
      <c r="A219" s="1123" t="s">
        <v>1002</v>
      </c>
      <c r="B219" s="1119">
        <v>450</v>
      </c>
      <c r="C219" s="1123">
        <v>0.84</v>
      </c>
      <c r="D219" s="1124">
        <v>0.11</v>
      </c>
      <c r="E219" s="1119">
        <v>2</v>
      </c>
      <c r="F219" s="1119">
        <v>4</v>
      </c>
      <c r="G219" s="1119">
        <v>0.14000000000000001</v>
      </c>
      <c r="H219" s="1119">
        <v>0.16</v>
      </c>
    </row>
    <row r="220" spans="1:8" s="1108" customFormat="1" ht="13.5" customHeight="1" x14ac:dyDescent="0.25">
      <c r="A220" s="1123" t="s">
        <v>1002</v>
      </c>
      <c r="B220" s="1119">
        <v>400</v>
      </c>
      <c r="C220" s="1123">
        <v>0.84</v>
      </c>
      <c r="D220" s="1124">
        <v>0.11</v>
      </c>
      <c r="E220" s="1119">
        <v>2</v>
      </c>
      <c r="F220" s="1119">
        <v>4</v>
      </c>
      <c r="G220" s="1119">
        <v>0.13</v>
      </c>
      <c r="H220" s="1119">
        <v>0.15</v>
      </c>
    </row>
    <row r="221" spans="1:8" s="1108" customFormat="1" ht="13.5" customHeight="1" x14ac:dyDescent="0.25">
      <c r="A221" s="1119" t="s">
        <v>1068</v>
      </c>
      <c r="B221" s="1119">
        <v>1000</v>
      </c>
      <c r="C221" s="1123">
        <v>0.84</v>
      </c>
      <c r="D221" s="1124">
        <v>0.21</v>
      </c>
      <c r="E221" s="1119">
        <v>2</v>
      </c>
      <c r="F221" s="1119">
        <v>3</v>
      </c>
      <c r="G221" s="1119">
        <v>0.24</v>
      </c>
      <c r="H221" s="1119">
        <v>0.31</v>
      </c>
    </row>
    <row r="222" spans="1:8" s="1108" customFormat="1" ht="13.5" customHeight="1" x14ac:dyDescent="0.25">
      <c r="A222" s="1119" t="s">
        <v>1069</v>
      </c>
      <c r="B222" s="1126">
        <v>900</v>
      </c>
      <c r="C222" s="1123">
        <v>0.84</v>
      </c>
      <c r="D222" s="1124">
        <v>0.19</v>
      </c>
      <c r="E222" s="1119">
        <v>2</v>
      </c>
      <c r="F222" s="1119">
        <v>3</v>
      </c>
      <c r="G222" s="1119">
        <v>0.23</v>
      </c>
      <c r="H222" s="1119">
        <v>0.3</v>
      </c>
    </row>
    <row r="223" spans="1:8" s="1108" customFormat="1" ht="13.5" customHeight="1" x14ac:dyDescent="0.25">
      <c r="A223" s="1119" t="s">
        <v>1005</v>
      </c>
      <c r="B223" s="1126">
        <v>800</v>
      </c>
      <c r="C223" s="1123">
        <v>0.84</v>
      </c>
      <c r="D223" s="1124">
        <v>0.18</v>
      </c>
      <c r="E223" s="1119">
        <v>2</v>
      </c>
      <c r="F223" s="1119">
        <v>3</v>
      </c>
      <c r="G223" s="1119">
        <v>0.21</v>
      </c>
      <c r="H223" s="1119">
        <v>0.26</v>
      </c>
    </row>
    <row r="224" spans="1:8" s="1108" customFormat="1" ht="13.5" customHeight="1" x14ac:dyDescent="0.25">
      <c r="A224" s="1123" t="s">
        <v>1002</v>
      </c>
      <c r="B224" s="1119">
        <v>700</v>
      </c>
      <c r="C224" s="1123">
        <v>0.84</v>
      </c>
      <c r="D224" s="1124">
        <v>0.16</v>
      </c>
      <c r="E224" s="1119">
        <v>2</v>
      </c>
      <c r="F224" s="1119">
        <v>3</v>
      </c>
      <c r="G224" s="1119">
        <v>0.19</v>
      </c>
      <c r="H224" s="1119">
        <v>0.23</v>
      </c>
    </row>
    <row r="225" spans="1:8" s="1108" customFormat="1" ht="13.5" customHeight="1" x14ac:dyDescent="0.25">
      <c r="A225" s="1123" t="s">
        <v>1002</v>
      </c>
      <c r="B225" s="1119">
        <v>600</v>
      </c>
      <c r="C225" s="1123">
        <v>0.84</v>
      </c>
      <c r="D225" s="1124">
        <v>0.15</v>
      </c>
      <c r="E225" s="1119">
        <v>2</v>
      </c>
      <c r="F225" s="1119">
        <v>3</v>
      </c>
      <c r="G225" s="1119">
        <v>0.18</v>
      </c>
      <c r="H225" s="1119">
        <v>0.21</v>
      </c>
    </row>
    <row r="226" spans="1:8" s="1108" customFormat="1" ht="13.5" customHeight="1" x14ac:dyDescent="0.25">
      <c r="A226" s="1123" t="s">
        <v>1002</v>
      </c>
      <c r="B226" s="1126">
        <v>500</v>
      </c>
      <c r="C226" s="1123">
        <v>0.84</v>
      </c>
      <c r="D226" s="1124">
        <v>0.14000000000000001</v>
      </c>
      <c r="E226" s="1119">
        <v>2</v>
      </c>
      <c r="F226" s="1119">
        <v>3</v>
      </c>
      <c r="G226" s="1119">
        <v>0.16</v>
      </c>
      <c r="H226" s="1119">
        <v>0.19</v>
      </c>
    </row>
    <row r="227" spans="1:8" s="1108" customFormat="1" ht="13.5" customHeight="1" x14ac:dyDescent="0.25">
      <c r="A227" s="1123" t="s">
        <v>1002</v>
      </c>
      <c r="B227" s="1119">
        <v>450</v>
      </c>
      <c r="C227" s="1123">
        <v>0.84</v>
      </c>
      <c r="D227" s="1124">
        <v>0.13</v>
      </c>
      <c r="E227" s="1119">
        <v>2</v>
      </c>
      <c r="F227" s="1119">
        <v>3</v>
      </c>
      <c r="G227" s="1119">
        <v>0.15</v>
      </c>
      <c r="H227" s="1119">
        <v>0.17</v>
      </c>
    </row>
    <row r="228" spans="1:8" s="1108" customFormat="1" ht="13.5" customHeight="1" x14ac:dyDescent="0.25">
      <c r="A228" s="1123" t="s">
        <v>1002</v>
      </c>
      <c r="B228" s="1119">
        <v>400</v>
      </c>
      <c r="C228" s="1123">
        <v>0.84</v>
      </c>
      <c r="D228" s="1124">
        <v>0.122</v>
      </c>
      <c r="E228" s="1119">
        <v>2</v>
      </c>
      <c r="F228" s="1119">
        <v>3</v>
      </c>
      <c r="G228" s="1119">
        <v>0.14000000000000001</v>
      </c>
      <c r="H228" s="1119">
        <v>0.16</v>
      </c>
    </row>
    <row r="229" spans="1:8" s="1108" customFormat="1" ht="13.5" customHeight="1" x14ac:dyDescent="0.25">
      <c r="A229" s="1119" t="s">
        <v>1070</v>
      </c>
      <c r="B229" s="1126">
        <v>500</v>
      </c>
      <c r="C229" s="1123">
        <v>0.84</v>
      </c>
      <c r="D229" s="1124">
        <v>0.09</v>
      </c>
      <c r="E229" s="1119">
        <v>1</v>
      </c>
      <c r="F229" s="1119">
        <v>2</v>
      </c>
      <c r="G229" s="1119">
        <v>0.1</v>
      </c>
      <c r="H229" s="1119">
        <v>0.11</v>
      </c>
    </row>
    <row r="230" spans="1:8" s="1108" customFormat="1" ht="13.5" customHeight="1" x14ac:dyDescent="0.25">
      <c r="A230" s="1119" t="s">
        <v>1005</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1002</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1002</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1071</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1005</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1002</v>
      </c>
      <c r="B235" s="1126">
        <v>100</v>
      </c>
      <c r="C235" s="1123">
        <v>0.84</v>
      </c>
      <c r="D235" s="1124">
        <v>5.5E-2</v>
      </c>
      <c r="E235" s="1119">
        <v>1</v>
      </c>
      <c r="F235" s="1119">
        <v>3</v>
      </c>
      <c r="G235" s="1119">
        <v>6.7000000000000004E-2</v>
      </c>
      <c r="H235" s="1119">
        <v>0.08</v>
      </c>
    </row>
    <row r="236" spans="1:8" s="1108" customFormat="1" ht="13.5" customHeight="1" x14ac:dyDescent="0.25">
      <c r="A236" s="1119" t="s">
        <v>1072</v>
      </c>
      <c r="B236" s="1119">
        <v>1600</v>
      </c>
      <c r="C236" s="1123">
        <v>0.84</v>
      </c>
      <c r="D236" s="1124">
        <v>0.35</v>
      </c>
      <c r="E236" s="1119">
        <v>1</v>
      </c>
      <c r="F236" s="1119">
        <v>2</v>
      </c>
      <c r="G236" s="1119">
        <v>0.47</v>
      </c>
      <c r="H236" s="1119">
        <v>0.57999999999999996</v>
      </c>
    </row>
    <row r="237" spans="1:8" s="1108" customFormat="1" ht="13.5" customHeight="1" x14ac:dyDescent="0.25">
      <c r="A237" s="2551" t="s">
        <v>1073</v>
      </c>
      <c r="B237" s="2551"/>
      <c r="C237" s="2551"/>
      <c r="D237" s="2551"/>
      <c r="E237" s="2551"/>
      <c r="F237" s="2551"/>
      <c r="G237" s="2551"/>
      <c r="H237" s="2551"/>
    </row>
    <row r="238" spans="1:8" s="1108" customFormat="1" ht="13.5" customHeight="1" x14ac:dyDescent="0.25">
      <c r="A238" s="1119" t="s">
        <v>1074</v>
      </c>
      <c r="B238" s="1119">
        <v>1400</v>
      </c>
      <c r="C238" s="1123">
        <v>0.84</v>
      </c>
      <c r="D238" s="1124">
        <v>0.41</v>
      </c>
      <c r="E238" s="1119">
        <v>2</v>
      </c>
      <c r="F238" s="1119">
        <v>4</v>
      </c>
      <c r="G238" s="1119">
        <v>0.52</v>
      </c>
      <c r="H238" s="1119">
        <v>0.64</v>
      </c>
    </row>
    <row r="239" spans="1:8" s="1108" customFormat="1" ht="13.5" customHeight="1" x14ac:dyDescent="0.25">
      <c r="A239" s="1119" t="s">
        <v>1005</v>
      </c>
      <c r="B239" s="1119">
        <v>1200</v>
      </c>
      <c r="C239" s="1123">
        <v>0.84</v>
      </c>
      <c r="D239" s="1124">
        <v>0.35</v>
      </c>
      <c r="E239" s="1119">
        <v>2</v>
      </c>
      <c r="F239" s="1119">
        <v>4</v>
      </c>
      <c r="G239" s="1119">
        <v>0.47</v>
      </c>
      <c r="H239" s="1119">
        <v>0.57999999999999996</v>
      </c>
    </row>
    <row r="240" spans="1:8" s="1108" customFormat="1" ht="13.5" customHeight="1" x14ac:dyDescent="0.25">
      <c r="A240" s="1119" t="s">
        <v>1075</v>
      </c>
      <c r="B240" s="1119">
        <v>1000</v>
      </c>
      <c r="C240" s="1123">
        <v>0.84</v>
      </c>
      <c r="D240" s="1124">
        <v>0.21</v>
      </c>
      <c r="E240" s="1119">
        <v>7</v>
      </c>
      <c r="F240" s="1119">
        <v>12</v>
      </c>
      <c r="G240" s="1119">
        <v>0.26</v>
      </c>
      <c r="H240" s="1119">
        <v>0.3</v>
      </c>
    </row>
    <row r="241" spans="1:8" s="1108" customFormat="1" ht="13.5" customHeight="1" x14ac:dyDescent="0.25">
      <c r="A241" s="1119" t="s">
        <v>1005</v>
      </c>
      <c r="B241" s="1126">
        <v>800</v>
      </c>
      <c r="C241" s="1123">
        <v>0.84</v>
      </c>
      <c r="D241" s="1124">
        <v>0.16</v>
      </c>
      <c r="E241" s="1119">
        <v>7</v>
      </c>
      <c r="F241" s="1119">
        <v>12</v>
      </c>
      <c r="G241" s="1119">
        <v>0.21</v>
      </c>
      <c r="H241" s="1119">
        <v>0.26</v>
      </c>
    </row>
    <row r="242" spans="1:8" s="1108" customFormat="1" ht="13.5" customHeight="1" x14ac:dyDescent="0.25">
      <c r="A242" s="1119" t="s">
        <v>1076</v>
      </c>
      <c r="B242" s="1119">
        <v>600</v>
      </c>
      <c r="C242" s="1123">
        <v>0.84</v>
      </c>
      <c r="D242" s="1124">
        <v>0.14000000000000001</v>
      </c>
      <c r="E242" s="1119">
        <v>10</v>
      </c>
      <c r="F242" s="1119">
        <v>15</v>
      </c>
      <c r="G242" s="1119">
        <v>0.19</v>
      </c>
      <c r="H242" s="1119">
        <v>0.23</v>
      </c>
    </row>
    <row r="243" spans="1:8" s="1108" customFormat="1" ht="13.5" customHeight="1" x14ac:dyDescent="0.25">
      <c r="A243" s="1119" t="s">
        <v>1077</v>
      </c>
      <c r="B243" s="1126">
        <v>500</v>
      </c>
      <c r="C243" s="1123">
        <v>0.84</v>
      </c>
      <c r="D243" s="1124">
        <v>0.12</v>
      </c>
      <c r="E243" s="1119">
        <v>6</v>
      </c>
      <c r="F243" s="1119">
        <v>10</v>
      </c>
      <c r="G243" s="1119">
        <v>0.15</v>
      </c>
      <c r="H243" s="1119">
        <v>0.19</v>
      </c>
    </row>
    <row r="244" spans="1:8" s="1108" customFormat="1" ht="13.5" customHeight="1" x14ac:dyDescent="0.25">
      <c r="A244" s="1119" t="s">
        <v>1005</v>
      </c>
      <c r="B244" s="1119">
        <v>400</v>
      </c>
      <c r="C244" s="1123">
        <v>0.84</v>
      </c>
      <c r="D244" s="1124">
        <v>0.09</v>
      </c>
      <c r="E244" s="1119">
        <v>6</v>
      </c>
      <c r="F244" s="1119">
        <v>10</v>
      </c>
      <c r="G244" s="1119">
        <v>0.13</v>
      </c>
      <c r="H244" s="1119">
        <v>0.15</v>
      </c>
    </row>
    <row r="245" spans="1:8" s="1108" customFormat="1" ht="13.5" customHeight="1" x14ac:dyDescent="0.25">
      <c r="A245" s="2552" t="s">
        <v>1078</v>
      </c>
      <c r="B245" s="2552"/>
      <c r="C245" s="2552"/>
      <c r="D245" s="2552"/>
      <c r="E245" s="2552"/>
      <c r="F245" s="2552"/>
      <c r="G245" s="2552"/>
      <c r="H245" s="2552"/>
    </row>
    <row r="246" spans="1:8" s="1108" customFormat="1" ht="13.5" customHeight="1" x14ac:dyDescent="0.25">
      <c r="A246" s="2555" t="s">
        <v>1079</v>
      </c>
      <c r="B246" s="2555"/>
      <c r="C246" s="2555"/>
      <c r="D246" s="2555"/>
      <c r="E246" s="2555"/>
      <c r="F246" s="2555"/>
      <c r="G246" s="2555"/>
      <c r="H246" s="2555"/>
    </row>
    <row r="247" spans="1:8" s="1108" customFormat="1" ht="13.5" customHeight="1" x14ac:dyDescent="0.25">
      <c r="A247" s="1119" t="s">
        <v>1080</v>
      </c>
      <c r="B247" s="1119">
        <v>1800</v>
      </c>
      <c r="C247" s="1123">
        <v>0.84</v>
      </c>
      <c r="D247" s="1124">
        <v>0.64</v>
      </c>
      <c r="E247" s="1119">
        <v>7</v>
      </c>
      <c r="F247" s="1119">
        <v>10</v>
      </c>
      <c r="G247" s="1119">
        <v>0.87</v>
      </c>
      <c r="H247" s="1119">
        <v>0.99</v>
      </c>
    </row>
    <row r="248" spans="1:8" s="1108" customFormat="1" ht="13.5" customHeight="1" x14ac:dyDescent="0.25">
      <c r="A248" s="1127" t="s">
        <v>1002</v>
      </c>
      <c r="B248" s="1119">
        <v>1600</v>
      </c>
      <c r="C248" s="1123">
        <v>0.84</v>
      </c>
      <c r="D248" s="1124">
        <v>0.52</v>
      </c>
      <c r="E248" s="1119">
        <v>7</v>
      </c>
      <c r="F248" s="1119">
        <v>10</v>
      </c>
      <c r="G248" s="1119">
        <v>0.7</v>
      </c>
      <c r="H248" s="1119">
        <v>0.81</v>
      </c>
    </row>
    <row r="249" spans="1:8" s="1108" customFormat="1" ht="13.5" customHeight="1" x14ac:dyDescent="0.25">
      <c r="A249" s="1127" t="s">
        <v>1002</v>
      </c>
      <c r="B249" s="1119">
        <v>1400</v>
      </c>
      <c r="C249" s="1123">
        <v>0.84</v>
      </c>
      <c r="D249" s="1124">
        <v>0.41</v>
      </c>
      <c r="E249" s="1119">
        <v>7</v>
      </c>
      <c r="F249" s="1119">
        <v>10</v>
      </c>
      <c r="G249" s="1119">
        <v>0.52</v>
      </c>
      <c r="H249" s="1119">
        <v>0.57999999999999996</v>
      </c>
    </row>
    <row r="250" spans="1:8" s="1108" customFormat="1" ht="13.5" customHeight="1" x14ac:dyDescent="0.25">
      <c r="A250" s="1127" t="s">
        <v>1002</v>
      </c>
      <c r="B250" s="1119">
        <v>1200</v>
      </c>
      <c r="C250" s="1123">
        <v>0.84</v>
      </c>
      <c r="D250" s="1124">
        <v>0.28999999999999998</v>
      </c>
      <c r="E250" s="1119">
        <v>7</v>
      </c>
      <c r="F250" s="1119">
        <v>10</v>
      </c>
      <c r="G250" s="1119">
        <v>0.41</v>
      </c>
      <c r="H250" s="1119">
        <v>0.47</v>
      </c>
    </row>
    <row r="251" spans="1:8" s="1108" customFormat="1" ht="13.5" customHeight="1" x14ac:dyDescent="0.25">
      <c r="A251" s="1119" t="s">
        <v>1081</v>
      </c>
      <c r="B251" s="1119">
        <v>1600</v>
      </c>
      <c r="C251" s="1123">
        <v>0.84</v>
      </c>
      <c r="D251" s="1124">
        <v>0.52</v>
      </c>
      <c r="E251" s="1119">
        <v>4</v>
      </c>
      <c r="F251" s="1119">
        <v>6</v>
      </c>
      <c r="G251" s="1119">
        <v>0.62</v>
      </c>
      <c r="H251" s="1119">
        <v>0.68</v>
      </c>
    </row>
    <row r="252" spans="1:8" s="1108" customFormat="1" ht="13.5" customHeight="1" x14ac:dyDescent="0.25">
      <c r="A252" s="1127" t="s">
        <v>1002</v>
      </c>
      <c r="B252" s="1119">
        <v>1400</v>
      </c>
      <c r="C252" s="1123">
        <v>0.84</v>
      </c>
      <c r="D252" s="1124">
        <v>0.42</v>
      </c>
      <c r="E252" s="1119">
        <v>4</v>
      </c>
      <c r="F252" s="1119">
        <v>6</v>
      </c>
      <c r="G252" s="1119">
        <v>0.49</v>
      </c>
      <c r="H252" s="1119">
        <v>0.54</v>
      </c>
    </row>
    <row r="253" spans="1:8" s="1108" customFormat="1" ht="13.5" customHeight="1" x14ac:dyDescent="0.25">
      <c r="A253" s="1127" t="s">
        <v>1002</v>
      </c>
      <c r="B253" s="1119">
        <v>1200</v>
      </c>
      <c r="C253" s="1123">
        <v>0.84</v>
      </c>
      <c r="D253" s="1124">
        <v>0.34</v>
      </c>
      <c r="E253" s="1119">
        <v>4</v>
      </c>
      <c r="F253" s="1119">
        <v>6</v>
      </c>
      <c r="G253" s="1119">
        <v>0.4</v>
      </c>
      <c r="H253" s="1119">
        <v>0.43</v>
      </c>
    </row>
    <row r="254" spans="1:8" s="1108" customFormat="1" ht="13.5" customHeight="1" x14ac:dyDescent="0.25">
      <c r="A254" s="1127" t="s">
        <v>1002</v>
      </c>
      <c r="B254" s="1119">
        <v>1000</v>
      </c>
      <c r="C254" s="1123">
        <v>0.84</v>
      </c>
      <c r="D254" s="1124">
        <v>0.26</v>
      </c>
      <c r="E254" s="1119">
        <v>4</v>
      </c>
      <c r="F254" s="1119">
        <v>6</v>
      </c>
      <c r="G254" s="1119">
        <v>0.3</v>
      </c>
      <c r="H254" s="1119">
        <v>0.34</v>
      </c>
    </row>
    <row r="255" spans="1:8" s="1108" customFormat="1" ht="13.5" customHeight="1" x14ac:dyDescent="0.25">
      <c r="A255" s="1127" t="s">
        <v>1002</v>
      </c>
      <c r="B255" s="1126">
        <v>800</v>
      </c>
      <c r="C255" s="1123">
        <v>0.84</v>
      </c>
      <c r="D255" s="1124">
        <v>0.19</v>
      </c>
      <c r="E255" s="1119">
        <v>4</v>
      </c>
      <c r="F255" s="1119">
        <v>6</v>
      </c>
      <c r="G255" s="1119">
        <v>0.22</v>
      </c>
      <c r="H255" s="1119">
        <v>0.26</v>
      </c>
    </row>
    <row r="256" spans="1:8" s="1108" customFormat="1" ht="13.5" customHeight="1" x14ac:dyDescent="0.25">
      <c r="A256" s="1119" t="s">
        <v>1082</v>
      </c>
      <c r="B256" s="1119">
        <v>1600</v>
      </c>
      <c r="C256" s="1123">
        <v>0.84</v>
      </c>
      <c r="D256" s="1124">
        <v>0.52</v>
      </c>
      <c r="E256" s="1119">
        <v>7</v>
      </c>
      <c r="F256" s="1119">
        <v>10</v>
      </c>
      <c r="G256" s="1119">
        <v>0.64</v>
      </c>
      <c r="H256" s="1119">
        <v>0.7</v>
      </c>
    </row>
    <row r="257" spans="1:8" s="1108" customFormat="1" ht="13.5" customHeight="1" x14ac:dyDescent="0.25">
      <c r="A257" s="1119" t="s">
        <v>1005</v>
      </c>
      <c r="B257" s="1119">
        <v>1400</v>
      </c>
      <c r="C257" s="1123">
        <v>0.84</v>
      </c>
      <c r="D257" s="1124">
        <v>0.41</v>
      </c>
      <c r="E257" s="1119">
        <v>7</v>
      </c>
      <c r="F257" s="1119">
        <v>10</v>
      </c>
      <c r="G257" s="1119">
        <v>0.52</v>
      </c>
      <c r="H257" s="1119">
        <v>0.57999999999999996</v>
      </c>
    </row>
    <row r="258" spans="1:8" s="1108" customFormat="1" ht="13.5" customHeight="1" x14ac:dyDescent="0.25">
      <c r="A258" s="1127" t="s">
        <v>1002</v>
      </c>
      <c r="B258" s="1119">
        <v>1200</v>
      </c>
      <c r="C258" s="1123">
        <v>0.84</v>
      </c>
      <c r="D258" s="1119">
        <v>0.33</v>
      </c>
      <c r="E258" s="1119">
        <v>7</v>
      </c>
      <c r="F258" s="1119">
        <v>10</v>
      </c>
      <c r="G258" s="1119">
        <v>0.41</v>
      </c>
      <c r="H258" s="1119">
        <v>0.47</v>
      </c>
    </row>
    <row r="259" spans="1:8" s="1108" customFormat="1" ht="13.5" customHeight="1" x14ac:dyDescent="0.25">
      <c r="A259" s="1127" t="s">
        <v>1002</v>
      </c>
      <c r="B259" s="1119">
        <v>1000</v>
      </c>
      <c r="C259" s="1123">
        <v>0.84</v>
      </c>
      <c r="D259" s="1119">
        <v>0.24</v>
      </c>
      <c r="E259" s="1119">
        <v>7</v>
      </c>
      <c r="F259" s="1119">
        <v>10</v>
      </c>
      <c r="G259" s="1119">
        <v>0.28999999999999998</v>
      </c>
      <c r="H259" s="1119">
        <v>0.35</v>
      </c>
    </row>
    <row r="260" spans="1:8" s="1108" customFormat="1" ht="13.5" customHeight="1" x14ac:dyDescent="0.25">
      <c r="A260" s="1127" t="s">
        <v>1002</v>
      </c>
      <c r="B260" s="1126">
        <v>800</v>
      </c>
      <c r="C260" s="1123">
        <v>0.84</v>
      </c>
      <c r="D260" s="1119">
        <v>0.2</v>
      </c>
      <c r="E260" s="1119">
        <v>7</v>
      </c>
      <c r="F260" s="1119">
        <v>10</v>
      </c>
      <c r="G260" s="1119">
        <v>0.23</v>
      </c>
      <c r="H260" s="1119">
        <v>0.28999999999999998</v>
      </c>
    </row>
    <row r="261" spans="1:8" s="1108" customFormat="1" ht="13.5" customHeight="1" x14ac:dyDescent="0.25">
      <c r="A261" s="2551" t="s">
        <v>1083</v>
      </c>
      <c r="B261" s="2551"/>
      <c r="C261" s="2551"/>
      <c r="D261" s="2551"/>
      <c r="E261" s="2551"/>
      <c r="F261" s="2551"/>
      <c r="G261" s="2551"/>
      <c r="H261" s="2551"/>
    </row>
    <row r="262" spans="1:8" s="1108" customFormat="1" ht="13.5" customHeight="1" x14ac:dyDescent="0.25">
      <c r="A262" s="1121" t="s">
        <v>1084</v>
      </c>
      <c r="B262" s="1119">
        <v>1800</v>
      </c>
      <c r="C262" s="1123">
        <v>0.84</v>
      </c>
      <c r="D262" s="1119">
        <v>0.66</v>
      </c>
      <c r="E262" s="1119">
        <v>5</v>
      </c>
      <c r="F262" s="1119">
        <v>10</v>
      </c>
      <c r="G262" s="1119">
        <v>0.8</v>
      </c>
      <c r="H262" s="1119">
        <v>0.92</v>
      </c>
    </row>
    <row r="263" spans="1:8" s="1108" customFormat="1" ht="13.5" customHeight="1" x14ac:dyDescent="0.25">
      <c r="A263" s="1121" t="s">
        <v>1084</v>
      </c>
      <c r="B263" s="1119">
        <v>1600</v>
      </c>
      <c r="C263" s="1123">
        <v>0.84</v>
      </c>
      <c r="D263" s="1119">
        <v>0.57999999999999996</v>
      </c>
      <c r="E263" s="1119">
        <v>5</v>
      </c>
      <c r="F263" s="1119">
        <v>10</v>
      </c>
      <c r="G263" s="1119">
        <v>0.67</v>
      </c>
      <c r="H263" s="1119">
        <v>0.79</v>
      </c>
    </row>
    <row r="264" spans="1:8" s="1108" customFormat="1" ht="13.5" customHeight="1" x14ac:dyDescent="0.25">
      <c r="A264" s="1121" t="s">
        <v>1084</v>
      </c>
      <c r="B264" s="1119">
        <v>1400</v>
      </c>
      <c r="C264" s="1123">
        <v>0.84</v>
      </c>
      <c r="D264" s="1119">
        <v>0.47</v>
      </c>
      <c r="E264" s="1119">
        <v>5</v>
      </c>
      <c r="F264" s="1119">
        <v>10</v>
      </c>
      <c r="G264" s="1119">
        <v>0.56000000000000005</v>
      </c>
      <c r="H264" s="1119">
        <v>0.65</v>
      </c>
    </row>
    <row r="265" spans="1:8" s="1108" customFormat="1" ht="13.5" customHeight="1" x14ac:dyDescent="0.25">
      <c r="A265" s="1121" t="s">
        <v>1084</v>
      </c>
      <c r="B265" s="1119">
        <v>1200</v>
      </c>
      <c r="C265" s="1123">
        <v>0.84</v>
      </c>
      <c r="D265" s="1119">
        <v>0.36</v>
      </c>
      <c r="E265" s="1119">
        <v>5</v>
      </c>
      <c r="F265" s="1119">
        <v>10</v>
      </c>
      <c r="G265" s="1119">
        <v>0.44</v>
      </c>
      <c r="H265" s="1119">
        <v>0.52</v>
      </c>
    </row>
    <row r="266" spans="1:8" s="1108" customFormat="1" ht="13.5" customHeight="1" x14ac:dyDescent="0.25">
      <c r="A266" s="1121" t="s">
        <v>1084</v>
      </c>
      <c r="B266" s="1119">
        <v>1000</v>
      </c>
      <c r="C266" s="1123">
        <v>0.84</v>
      </c>
      <c r="D266" s="1119">
        <v>0.27</v>
      </c>
      <c r="E266" s="1119">
        <v>5</v>
      </c>
      <c r="F266" s="1119">
        <v>10</v>
      </c>
      <c r="G266" s="1119">
        <v>0.33</v>
      </c>
      <c r="H266" s="1119">
        <v>0.41</v>
      </c>
    </row>
    <row r="267" spans="1:8" s="1108" customFormat="1" ht="13.5" customHeight="1" x14ac:dyDescent="0.25">
      <c r="A267" s="1121" t="s">
        <v>1084</v>
      </c>
      <c r="B267" s="1126">
        <v>800</v>
      </c>
      <c r="C267" s="1123">
        <v>0.84</v>
      </c>
      <c r="D267" s="1119">
        <v>0.21</v>
      </c>
      <c r="E267" s="1119">
        <v>5</v>
      </c>
      <c r="F267" s="1119">
        <v>10</v>
      </c>
      <c r="G267" s="1119">
        <v>0.24</v>
      </c>
      <c r="H267" s="1119">
        <v>0.31</v>
      </c>
    </row>
    <row r="268" spans="1:8" s="1108" customFormat="1" ht="13.5" customHeight="1" x14ac:dyDescent="0.25">
      <c r="A268" s="1121" t="s">
        <v>1084</v>
      </c>
      <c r="B268" s="1119">
        <v>600</v>
      </c>
      <c r="C268" s="1123">
        <v>0.84</v>
      </c>
      <c r="D268" s="1119">
        <v>0.16</v>
      </c>
      <c r="E268" s="1119">
        <v>5</v>
      </c>
      <c r="F268" s="1119">
        <v>10</v>
      </c>
      <c r="G268" s="1119">
        <v>0.2</v>
      </c>
      <c r="H268" s="1119">
        <v>0.26</v>
      </c>
    </row>
    <row r="269" spans="1:8" s="1108" customFormat="1" ht="13.5" customHeight="1" x14ac:dyDescent="0.25">
      <c r="A269" s="1121" t="s">
        <v>1084</v>
      </c>
      <c r="B269" s="1126">
        <v>500</v>
      </c>
      <c r="C269" s="1123">
        <v>0.84</v>
      </c>
      <c r="D269" s="1119">
        <v>0.14000000000000001</v>
      </c>
      <c r="E269" s="1119">
        <v>5</v>
      </c>
      <c r="F269" s="1119">
        <v>10</v>
      </c>
      <c r="G269" s="1119">
        <v>0.17</v>
      </c>
      <c r="H269" s="1119">
        <v>0.23</v>
      </c>
    </row>
    <row r="270" spans="1:8" s="1108" customFormat="1" ht="13.5" customHeight="1" x14ac:dyDescent="0.25">
      <c r="A270" s="1119" t="s">
        <v>1085</v>
      </c>
      <c r="B270" s="1119">
        <v>1200</v>
      </c>
      <c r="C270" s="1123">
        <v>0.84</v>
      </c>
      <c r="D270" s="1119">
        <v>0.41</v>
      </c>
      <c r="E270" s="1119">
        <v>4</v>
      </c>
      <c r="F270" s="1119">
        <v>8</v>
      </c>
      <c r="G270" s="1119">
        <v>0.52</v>
      </c>
      <c r="H270" s="1119">
        <v>0.57999999999999996</v>
      </c>
    </row>
    <row r="271" spans="1:8" s="1108" customFormat="1" ht="13.5" customHeight="1" x14ac:dyDescent="0.25">
      <c r="A271" s="1119" t="s">
        <v>1005</v>
      </c>
      <c r="B271" s="1119">
        <v>1000</v>
      </c>
      <c r="C271" s="1123">
        <v>0.84</v>
      </c>
      <c r="D271" s="1119">
        <v>0.33</v>
      </c>
      <c r="E271" s="1119">
        <v>4</v>
      </c>
      <c r="F271" s="1119">
        <v>8</v>
      </c>
      <c r="G271" s="1119">
        <v>0.41</v>
      </c>
      <c r="H271" s="1119">
        <v>0.47</v>
      </c>
    </row>
    <row r="272" spans="1:8" s="1108" customFormat="1" ht="13.5" customHeight="1" x14ac:dyDescent="0.25">
      <c r="A272" s="1127" t="s">
        <v>1002</v>
      </c>
      <c r="B272" s="1126">
        <v>800</v>
      </c>
      <c r="C272" s="1123">
        <v>0.84</v>
      </c>
      <c r="D272" s="1119">
        <v>0.23</v>
      </c>
      <c r="E272" s="1119">
        <v>4</v>
      </c>
      <c r="F272" s="1119">
        <v>8</v>
      </c>
      <c r="G272" s="1119">
        <v>0.28999999999999998</v>
      </c>
      <c r="H272" s="1119">
        <v>0.35</v>
      </c>
    </row>
    <row r="273" spans="1:8" s="1108" customFormat="1" ht="13.5" customHeight="1" x14ac:dyDescent="0.25">
      <c r="A273" s="1119" t="s">
        <v>1086</v>
      </c>
      <c r="B273" s="1119">
        <v>1000</v>
      </c>
      <c r="C273" s="1123">
        <v>0.84</v>
      </c>
      <c r="D273" s="1119">
        <v>0.28000000000000003</v>
      </c>
      <c r="E273" s="1119">
        <v>9</v>
      </c>
      <c r="F273" s="1119">
        <v>13</v>
      </c>
      <c r="G273" s="1119">
        <v>0.35</v>
      </c>
      <c r="H273" s="1119">
        <v>0.41</v>
      </c>
    </row>
    <row r="274" spans="1:8" s="1108" customFormat="1" ht="13.5" customHeight="1" x14ac:dyDescent="0.25">
      <c r="A274" s="1119" t="s">
        <v>1005</v>
      </c>
      <c r="B274" s="1126">
        <v>800</v>
      </c>
      <c r="C274" s="1123">
        <v>0.84</v>
      </c>
      <c r="D274" s="1119">
        <v>0.22</v>
      </c>
      <c r="E274" s="1119">
        <v>9</v>
      </c>
      <c r="F274" s="1119">
        <v>13</v>
      </c>
      <c r="G274" s="1119">
        <v>0.28999999999999998</v>
      </c>
      <c r="H274" s="1119">
        <v>0.35</v>
      </c>
    </row>
    <row r="275" spans="1:8" s="1108" customFormat="1" ht="13.5" customHeight="1" x14ac:dyDescent="0.25">
      <c r="A275" s="1119" t="s">
        <v>1087</v>
      </c>
      <c r="B275" s="1119">
        <v>1400</v>
      </c>
      <c r="C275" s="1123">
        <v>0.84</v>
      </c>
      <c r="D275" s="1119">
        <v>0.49</v>
      </c>
      <c r="E275" s="1119">
        <v>4</v>
      </c>
      <c r="F275" s="1119">
        <v>7</v>
      </c>
      <c r="G275" s="1119">
        <v>0.56000000000000005</v>
      </c>
      <c r="H275" s="1119">
        <v>0.64</v>
      </c>
    </row>
    <row r="276" spans="1:8" s="1108" customFormat="1" ht="13.5" customHeight="1" x14ac:dyDescent="0.25">
      <c r="A276" s="1127" t="s">
        <v>1002</v>
      </c>
      <c r="B276" s="1119">
        <v>1200</v>
      </c>
      <c r="C276" s="1123">
        <v>0.84</v>
      </c>
      <c r="D276" s="1119">
        <v>0.36</v>
      </c>
      <c r="E276" s="1119">
        <v>4</v>
      </c>
      <c r="F276" s="1119">
        <v>7</v>
      </c>
      <c r="G276" s="1119">
        <v>0.44</v>
      </c>
      <c r="H276" s="1119">
        <v>0.5</v>
      </c>
    </row>
    <row r="277" spans="1:8" s="1108" customFormat="1" ht="13.5" customHeight="1" x14ac:dyDescent="0.25">
      <c r="A277" s="1127" t="s">
        <v>1002</v>
      </c>
      <c r="B277" s="1119">
        <v>1000</v>
      </c>
      <c r="C277" s="1123">
        <v>0.84</v>
      </c>
      <c r="D277" s="1119">
        <v>0.27</v>
      </c>
      <c r="E277" s="1119">
        <v>4</v>
      </c>
      <c r="F277" s="1119">
        <v>7</v>
      </c>
      <c r="G277" s="1119">
        <v>0.33</v>
      </c>
      <c r="H277" s="1119">
        <v>0.38</v>
      </c>
    </row>
    <row r="278" spans="1:8" s="1108" customFormat="1" ht="13.5" customHeight="1" x14ac:dyDescent="0.25">
      <c r="A278" s="1119" t="s">
        <v>1088</v>
      </c>
      <c r="B278" s="1119">
        <v>1200</v>
      </c>
      <c r="C278" s="1123">
        <v>0.84</v>
      </c>
      <c r="D278" s="1119">
        <v>0.28999999999999998</v>
      </c>
      <c r="E278" s="1119">
        <v>10</v>
      </c>
      <c r="F278" s="1119">
        <v>15</v>
      </c>
      <c r="G278" s="1119">
        <v>0.44</v>
      </c>
      <c r="H278" s="1119">
        <v>0.5</v>
      </c>
    </row>
    <row r="279" spans="1:8" s="1108" customFormat="1" ht="13.5" customHeight="1" x14ac:dyDescent="0.25">
      <c r="A279" s="1127" t="s">
        <v>1002</v>
      </c>
      <c r="B279" s="1119">
        <v>1000</v>
      </c>
      <c r="C279" s="1123">
        <v>0.84</v>
      </c>
      <c r="D279" s="1119">
        <v>0.22</v>
      </c>
      <c r="E279" s="1119">
        <v>10</v>
      </c>
      <c r="F279" s="1119">
        <v>15</v>
      </c>
      <c r="G279" s="1119">
        <v>0.33</v>
      </c>
      <c r="H279" s="1119">
        <v>0.38</v>
      </c>
    </row>
    <row r="280" spans="1:8" s="1108" customFormat="1" ht="13.5" customHeight="1" x14ac:dyDescent="0.25">
      <c r="A280" s="1127" t="s">
        <v>1002</v>
      </c>
      <c r="B280" s="1126">
        <v>800</v>
      </c>
      <c r="C280" s="1123">
        <v>0.84</v>
      </c>
      <c r="D280" s="1119">
        <v>0.16</v>
      </c>
      <c r="E280" s="1119">
        <v>10</v>
      </c>
      <c r="F280" s="1119">
        <v>15</v>
      </c>
      <c r="G280" s="1119">
        <v>0.27</v>
      </c>
      <c r="H280" s="1119">
        <v>0.33</v>
      </c>
    </row>
    <row r="281" spans="1:8" s="1108" customFormat="1" ht="13.5" customHeight="1" x14ac:dyDescent="0.25">
      <c r="A281" s="1127" t="s">
        <v>1002</v>
      </c>
      <c r="B281" s="1119">
        <v>600</v>
      </c>
      <c r="C281" s="1123">
        <v>0.84</v>
      </c>
      <c r="D281" s="1119">
        <v>0.12</v>
      </c>
      <c r="E281" s="1119">
        <v>10</v>
      </c>
      <c r="F281" s="1119">
        <v>15</v>
      </c>
      <c r="G281" s="1119">
        <v>0.19</v>
      </c>
      <c r="H281" s="1119">
        <v>0.23</v>
      </c>
    </row>
    <row r="282" spans="1:8" s="1108" customFormat="1" ht="13.5" customHeight="1" x14ac:dyDescent="0.25">
      <c r="A282" s="1119" t="s">
        <v>1089</v>
      </c>
      <c r="B282" s="1119">
        <v>1800</v>
      </c>
      <c r="C282" s="1123">
        <v>0.84</v>
      </c>
      <c r="D282" s="1119">
        <v>0.52</v>
      </c>
      <c r="E282" s="1119">
        <v>5</v>
      </c>
      <c r="F282" s="1119">
        <v>8</v>
      </c>
      <c r="G282" s="1119">
        <v>0.63</v>
      </c>
      <c r="H282" s="1119">
        <v>0.76</v>
      </c>
    </row>
    <row r="283" spans="1:8" s="1108" customFormat="1" ht="13.5" customHeight="1" x14ac:dyDescent="0.25">
      <c r="A283" s="1119" t="s">
        <v>1005</v>
      </c>
      <c r="B283" s="1119">
        <v>1600</v>
      </c>
      <c r="C283" s="1123">
        <v>0.84</v>
      </c>
      <c r="D283" s="1119">
        <v>0.41</v>
      </c>
      <c r="E283" s="1119">
        <v>5</v>
      </c>
      <c r="F283" s="1119">
        <v>8</v>
      </c>
      <c r="G283" s="1119">
        <v>0.52</v>
      </c>
      <c r="H283" s="1119">
        <v>0.63</v>
      </c>
    </row>
    <row r="284" spans="1:8" s="1108" customFormat="1" ht="13.5" customHeight="1" x14ac:dyDescent="0.25">
      <c r="A284" s="1127" t="s">
        <v>1002</v>
      </c>
      <c r="B284" s="1119">
        <v>1400</v>
      </c>
      <c r="C284" s="1123">
        <v>0.84</v>
      </c>
      <c r="D284" s="1119">
        <v>0.35</v>
      </c>
      <c r="E284" s="1119">
        <v>5</v>
      </c>
      <c r="F284" s="1119">
        <v>8</v>
      </c>
      <c r="G284" s="1119">
        <v>0.44</v>
      </c>
      <c r="H284" s="1119">
        <v>0.52</v>
      </c>
    </row>
    <row r="285" spans="1:8" s="1108" customFormat="1" ht="13.5" customHeight="1" x14ac:dyDescent="0.25">
      <c r="A285" s="1127" t="s">
        <v>1002</v>
      </c>
      <c r="B285" s="1119">
        <v>1200</v>
      </c>
      <c r="C285" s="1123">
        <v>0.84</v>
      </c>
      <c r="D285" s="1119">
        <v>0.28999999999999998</v>
      </c>
      <c r="E285" s="1119">
        <v>5</v>
      </c>
      <c r="F285" s="1119">
        <v>8</v>
      </c>
      <c r="G285" s="1119">
        <v>0.37</v>
      </c>
      <c r="H285" s="1119">
        <v>0.44</v>
      </c>
    </row>
    <row r="286" spans="1:8" s="1108" customFormat="1" ht="13.5" customHeight="1" x14ac:dyDescent="0.25">
      <c r="A286" s="1127" t="s">
        <v>1002</v>
      </c>
      <c r="B286" s="1119">
        <v>1000</v>
      </c>
      <c r="C286" s="1123">
        <v>0.84</v>
      </c>
      <c r="D286" s="1119">
        <v>0.23</v>
      </c>
      <c r="E286" s="1119">
        <v>5</v>
      </c>
      <c r="F286" s="1119">
        <v>8</v>
      </c>
      <c r="G286" s="1119">
        <v>0.31</v>
      </c>
      <c r="H286" s="1119">
        <v>0.37</v>
      </c>
    </row>
    <row r="287" spans="1:8" s="1108" customFormat="1" ht="13.5" customHeight="1" x14ac:dyDescent="0.25">
      <c r="A287" s="1119" t="s">
        <v>1090</v>
      </c>
      <c r="B287" s="1119">
        <v>1600</v>
      </c>
      <c r="C287" s="1123">
        <v>0.84</v>
      </c>
      <c r="D287" s="1119">
        <v>0.47</v>
      </c>
      <c r="E287" s="1119">
        <v>8</v>
      </c>
      <c r="F287" s="1119">
        <v>11</v>
      </c>
      <c r="G287" s="1119">
        <v>0.63</v>
      </c>
      <c r="H287" s="1119">
        <v>0.7</v>
      </c>
    </row>
    <row r="288" spans="1:8" s="1108" customFormat="1" ht="13.5" customHeight="1" x14ac:dyDescent="0.25">
      <c r="A288" s="1119" t="s">
        <v>1005</v>
      </c>
      <c r="B288" s="1119">
        <v>1400</v>
      </c>
      <c r="C288" s="1123">
        <v>0.84</v>
      </c>
      <c r="D288" s="1119">
        <v>0.35</v>
      </c>
      <c r="E288" s="1119">
        <v>8</v>
      </c>
      <c r="F288" s="1119">
        <v>11</v>
      </c>
      <c r="G288" s="1119">
        <v>0.52</v>
      </c>
      <c r="H288" s="1119">
        <v>0.57999999999999996</v>
      </c>
    </row>
    <row r="289" spans="1:8" s="1108" customFormat="1" ht="13.5" customHeight="1" x14ac:dyDescent="0.25">
      <c r="A289" s="1127" t="s">
        <v>1002</v>
      </c>
      <c r="B289" s="1119">
        <v>1200</v>
      </c>
      <c r="C289" s="1123">
        <v>0.84</v>
      </c>
      <c r="D289" s="1119">
        <v>0.28999999999999998</v>
      </c>
      <c r="E289" s="1119">
        <v>8</v>
      </c>
      <c r="F289" s="1119">
        <v>11</v>
      </c>
      <c r="G289" s="1119">
        <v>0.41</v>
      </c>
      <c r="H289" s="1119">
        <v>0.47</v>
      </c>
    </row>
    <row r="290" spans="1:8" s="1108" customFormat="1" ht="13.5" customHeight="1" x14ac:dyDescent="0.25">
      <c r="A290" s="1127" t="s">
        <v>1002</v>
      </c>
      <c r="B290" s="1119">
        <v>1000</v>
      </c>
      <c r="C290" s="1123">
        <v>0.84</v>
      </c>
      <c r="D290" s="1119">
        <v>0.23</v>
      </c>
      <c r="E290" s="1119">
        <v>8</v>
      </c>
      <c r="F290" s="1119">
        <v>11</v>
      </c>
      <c r="G290" s="1119">
        <v>0.35</v>
      </c>
      <c r="H290" s="1119">
        <v>0.41</v>
      </c>
    </row>
    <row r="291" spans="1:8" s="1108" customFormat="1" ht="13.5" customHeight="1" x14ac:dyDescent="0.25">
      <c r="A291" s="1127" t="s">
        <v>1002</v>
      </c>
      <c r="B291" s="1126">
        <v>800</v>
      </c>
      <c r="C291" s="1123">
        <v>0.84</v>
      </c>
      <c r="D291" s="1119">
        <v>0.17</v>
      </c>
      <c r="E291" s="1119">
        <v>8</v>
      </c>
      <c r="F291" s="1119">
        <v>11</v>
      </c>
      <c r="G291" s="1119">
        <v>0.28999999999999998</v>
      </c>
      <c r="H291" s="1119">
        <v>0.35</v>
      </c>
    </row>
    <row r="292" spans="1:8" s="1108" customFormat="1" ht="13.5" customHeight="1" x14ac:dyDescent="0.25">
      <c r="A292" s="1119" t="s">
        <v>1091</v>
      </c>
      <c r="B292" s="1119">
        <v>1800</v>
      </c>
      <c r="C292" s="1123">
        <v>0.84</v>
      </c>
      <c r="D292" s="1119">
        <v>0.57999999999999996</v>
      </c>
      <c r="E292" s="1119">
        <v>5</v>
      </c>
      <c r="F292" s="1119">
        <v>8</v>
      </c>
      <c r="G292" s="1119">
        <v>0.7</v>
      </c>
      <c r="H292" s="1119">
        <v>0.81</v>
      </c>
    </row>
    <row r="293" spans="1:8" s="1108" customFormat="1" ht="13.5" customHeight="1" x14ac:dyDescent="0.25">
      <c r="A293" s="1119" t="s">
        <v>1091</v>
      </c>
      <c r="B293" s="1119">
        <v>1600</v>
      </c>
      <c r="C293" s="1123">
        <v>0.84</v>
      </c>
      <c r="D293" s="1119">
        <v>0.47</v>
      </c>
      <c r="E293" s="1119">
        <v>5</v>
      </c>
      <c r="F293" s="1119">
        <v>8</v>
      </c>
      <c r="G293" s="1119">
        <v>0.57999999999999996</v>
      </c>
      <c r="H293" s="1119">
        <v>0.64</v>
      </c>
    </row>
    <row r="294" spans="1:8" s="1108" customFormat="1" ht="13.5" customHeight="1" x14ac:dyDescent="0.25">
      <c r="A294" s="1119" t="s">
        <v>1005</v>
      </c>
      <c r="B294" s="1119">
        <v>1400</v>
      </c>
      <c r="C294" s="1123">
        <v>0.84</v>
      </c>
      <c r="D294" s="1119">
        <v>0.41</v>
      </c>
      <c r="E294" s="1119">
        <v>5</v>
      </c>
      <c r="F294" s="1119">
        <v>8</v>
      </c>
      <c r="G294" s="1119">
        <v>0.52</v>
      </c>
      <c r="H294" s="1119">
        <v>0.57999999999999996</v>
      </c>
    </row>
    <row r="295" spans="1:8" s="1108" customFormat="1" ht="13.5" customHeight="1" x14ac:dyDescent="0.25">
      <c r="A295" s="1127" t="s">
        <v>1002</v>
      </c>
      <c r="B295" s="1119">
        <v>1200</v>
      </c>
      <c r="C295" s="1123">
        <v>0.84</v>
      </c>
      <c r="D295" s="1119">
        <v>0.35</v>
      </c>
      <c r="E295" s="1119">
        <v>5</v>
      </c>
      <c r="F295" s="1119">
        <v>8</v>
      </c>
      <c r="G295" s="1119">
        <v>0.47</v>
      </c>
      <c r="H295" s="1119">
        <v>0.52</v>
      </c>
    </row>
    <row r="296" spans="1:8" s="1108" customFormat="1" ht="13.5" customHeight="1" x14ac:dyDescent="0.25">
      <c r="A296" s="1119" t="s">
        <v>1092</v>
      </c>
      <c r="B296" s="1119">
        <v>1800</v>
      </c>
      <c r="C296" s="1123">
        <v>0.84</v>
      </c>
      <c r="D296" s="1119">
        <v>0.7</v>
      </c>
      <c r="E296" s="1119">
        <v>5</v>
      </c>
      <c r="F296" s="1119">
        <v>8</v>
      </c>
      <c r="G296" s="1119">
        <v>0.85</v>
      </c>
      <c r="H296" s="1119">
        <v>0.93</v>
      </c>
    </row>
    <row r="297" spans="1:8" s="1108" customFormat="1" ht="13.5" customHeight="1" x14ac:dyDescent="0.25">
      <c r="A297" s="1119" t="s">
        <v>1005</v>
      </c>
      <c r="B297" s="1119">
        <v>1600</v>
      </c>
      <c r="C297" s="1123">
        <v>0.84</v>
      </c>
      <c r="D297" s="1119">
        <v>0.57999999999999996</v>
      </c>
      <c r="E297" s="1119">
        <v>5</v>
      </c>
      <c r="F297" s="1119">
        <v>8</v>
      </c>
      <c r="G297" s="1119">
        <v>0.72</v>
      </c>
      <c r="H297" s="1119">
        <v>0.78</v>
      </c>
    </row>
    <row r="298" spans="1:8" s="1108" customFormat="1" ht="13.5" customHeight="1" x14ac:dyDescent="0.25">
      <c r="A298" s="1127" t="s">
        <v>1002</v>
      </c>
      <c r="B298" s="1119">
        <v>1400</v>
      </c>
      <c r="C298" s="1123">
        <v>0.84</v>
      </c>
      <c r="D298" s="1119">
        <v>0.47</v>
      </c>
      <c r="E298" s="1119">
        <v>5</v>
      </c>
      <c r="F298" s="1119">
        <v>8</v>
      </c>
      <c r="G298" s="1119">
        <v>0.59</v>
      </c>
      <c r="H298" s="1119">
        <v>0.65</v>
      </c>
    </row>
    <row r="299" spans="1:8" s="1108" customFormat="1" ht="13.5" customHeight="1" x14ac:dyDescent="0.25">
      <c r="A299" s="1127" t="s">
        <v>1002</v>
      </c>
      <c r="B299" s="1119">
        <v>1200</v>
      </c>
      <c r="C299" s="1123">
        <v>0.84</v>
      </c>
      <c r="D299" s="1119">
        <v>0.35</v>
      </c>
      <c r="E299" s="1119">
        <v>5</v>
      </c>
      <c r="F299" s="1119">
        <v>8</v>
      </c>
      <c r="G299" s="1119">
        <v>0.48</v>
      </c>
      <c r="H299" s="1119">
        <v>0.54</v>
      </c>
    </row>
    <row r="300" spans="1:8" s="1108" customFormat="1" ht="13.5" customHeight="1" x14ac:dyDescent="0.25">
      <c r="A300" s="1127" t="s">
        <v>1002</v>
      </c>
      <c r="B300" s="1119">
        <v>1000</v>
      </c>
      <c r="C300" s="1123">
        <v>0.84</v>
      </c>
      <c r="D300" s="1119">
        <v>0.28999999999999998</v>
      </c>
      <c r="E300" s="1119">
        <v>5</v>
      </c>
      <c r="F300" s="1119">
        <v>8</v>
      </c>
      <c r="G300" s="1119">
        <v>0.38</v>
      </c>
      <c r="H300" s="1119">
        <v>0.44</v>
      </c>
    </row>
    <row r="301" spans="1:8" s="1108" customFormat="1" ht="13.5" customHeight="1" x14ac:dyDescent="0.25">
      <c r="A301" s="1119" t="s">
        <v>1093</v>
      </c>
      <c r="B301" s="1119">
        <v>1400</v>
      </c>
      <c r="C301" s="1123">
        <v>0.84</v>
      </c>
      <c r="D301" s="1119">
        <v>0.47</v>
      </c>
      <c r="E301" s="1119">
        <v>5</v>
      </c>
      <c r="F301" s="1119">
        <v>8</v>
      </c>
      <c r="G301" s="1119">
        <v>0.52</v>
      </c>
      <c r="H301" s="1119">
        <v>0.57999999999999996</v>
      </c>
    </row>
    <row r="302" spans="1:8" s="1108" customFormat="1" ht="13.5" customHeight="1" x14ac:dyDescent="0.25">
      <c r="A302" s="1119" t="s">
        <v>1005</v>
      </c>
      <c r="B302" s="1119">
        <v>1200</v>
      </c>
      <c r="C302" s="1123">
        <v>0.84</v>
      </c>
      <c r="D302" s="1119">
        <v>0.35</v>
      </c>
      <c r="E302" s="1119">
        <v>5</v>
      </c>
      <c r="F302" s="1119">
        <v>8</v>
      </c>
      <c r="G302" s="1119">
        <v>0.41</v>
      </c>
      <c r="H302" s="1119">
        <v>0.47</v>
      </c>
    </row>
    <row r="303" spans="1:8" s="1108" customFormat="1" ht="13.5" customHeight="1" x14ac:dyDescent="0.25">
      <c r="A303" s="1127" t="s">
        <v>1002</v>
      </c>
      <c r="B303" s="1119">
        <v>1000</v>
      </c>
      <c r="C303" s="1123">
        <v>0.84</v>
      </c>
      <c r="D303" s="1119">
        <v>0.24</v>
      </c>
      <c r="E303" s="1119">
        <v>5</v>
      </c>
      <c r="F303" s="1119">
        <v>8</v>
      </c>
      <c r="G303" s="1119">
        <v>0.3</v>
      </c>
      <c r="H303" s="1119">
        <v>0.35</v>
      </c>
    </row>
    <row r="304" spans="1:8" s="1108" customFormat="1" ht="13.5" customHeight="1" x14ac:dyDescent="0.25">
      <c r="A304" s="1119" t="s">
        <v>1094</v>
      </c>
      <c r="B304" s="1126">
        <v>800</v>
      </c>
      <c r="C304" s="1123">
        <v>0.84</v>
      </c>
      <c r="D304" s="1119">
        <v>0.21</v>
      </c>
      <c r="E304" s="1119">
        <v>8</v>
      </c>
      <c r="F304" s="1119">
        <v>13</v>
      </c>
      <c r="G304" s="1119">
        <v>0.23</v>
      </c>
      <c r="H304" s="1119">
        <v>0.26</v>
      </c>
    </row>
    <row r="305" spans="1:8" s="1108" customFormat="1" ht="13.5" customHeight="1" x14ac:dyDescent="0.25">
      <c r="A305" s="1127" t="s">
        <v>1002</v>
      </c>
      <c r="B305" s="1119">
        <v>600</v>
      </c>
      <c r="C305" s="1123">
        <v>0.84</v>
      </c>
      <c r="D305" s="1119">
        <v>0.14000000000000001</v>
      </c>
      <c r="E305" s="1119">
        <v>8</v>
      </c>
      <c r="F305" s="1119">
        <v>13</v>
      </c>
      <c r="G305" s="1119">
        <v>0.16</v>
      </c>
      <c r="H305" s="1119">
        <v>0.17</v>
      </c>
    </row>
    <row r="306" spans="1:8" s="1108" customFormat="1" ht="13.5" customHeight="1" x14ac:dyDescent="0.25">
      <c r="A306" s="1127" t="s">
        <v>1002</v>
      </c>
      <c r="B306" s="1119">
        <v>400</v>
      </c>
      <c r="C306" s="1123">
        <v>0.84</v>
      </c>
      <c r="D306" s="1119">
        <v>0.09</v>
      </c>
      <c r="E306" s="1119">
        <v>8</v>
      </c>
      <c r="F306" s="1119">
        <v>13</v>
      </c>
      <c r="G306" s="1119">
        <v>0.11</v>
      </c>
      <c r="H306" s="1119">
        <v>0.13</v>
      </c>
    </row>
    <row r="307" spans="1:8" s="1108" customFormat="1" ht="13.5" customHeight="1" x14ac:dyDescent="0.25">
      <c r="A307" s="1127" t="s">
        <v>1002</v>
      </c>
      <c r="B307" s="1126">
        <v>300</v>
      </c>
      <c r="C307" s="1123">
        <v>0.84</v>
      </c>
      <c r="D307" s="1119">
        <v>0.08</v>
      </c>
      <c r="E307" s="1119">
        <v>8</v>
      </c>
      <c r="F307" s="1119">
        <v>13</v>
      </c>
      <c r="G307" s="1119">
        <v>0.09</v>
      </c>
      <c r="H307" s="1119">
        <v>0.11</v>
      </c>
    </row>
    <row r="308" spans="1:8" s="1108" customFormat="1" ht="13.5" customHeight="1" x14ac:dyDescent="0.25">
      <c r="A308" s="2551" t="s">
        <v>1095</v>
      </c>
      <c r="B308" s="2551"/>
      <c r="C308" s="2551"/>
      <c r="D308" s="2551"/>
      <c r="E308" s="2551"/>
      <c r="F308" s="2551"/>
      <c r="G308" s="2551"/>
      <c r="H308" s="2551"/>
    </row>
    <row r="309" spans="1:8" s="1108" customFormat="1" ht="13.5" customHeight="1" x14ac:dyDescent="0.25">
      <c r="A309" s="1119" t="s">
        <v>1096</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1002</v>
      </c>
      <c r="B311" s="1126">
        <v>500</v>
      </c>
      <c r="C311" s="1123">
        <v>1.06</v>
      </c>
      <c r="D311" s="1119">
        <v>0.125</v>
      </c>
      <c r="E311" s="1119">
        <v>4</v>
      </c>
      <c r="F311" s="1119">
        <v>8</v>
      </c>
      <c r="G311" s="1119">
        <v>0.14000000000000001</v>
      </c>
      <c r="H311" s="1119">
        <v>0.16</v>
      </c>
    </row>
    <row r="312" spans="1:8" s="1108" customFormat="1" ht="13.5" customHeight="1" x14ac:dyDescent="0.25">
      <c r="A312" s="1127" t="s">
        <v>1002</v>
      </c>
      <c r="B312" s="1119">
        <v>400</v>
      </c>
      <c r="C312" s="1123">
        <v>1.06</v>
      </c>
      <c r="D312" s="1119">
        <v>0.105</v>
      </c>
      <c r="E312" s="1119">
        <v>4</v>
      </c>
      <c r="F312" s="1119">
        <v>8</v>
      </c>
      <c r="G312" s="1119">
        <v>0.12</v>
      </c>
      <c r="H312" s="1119">
        <v>0.13500000000000001</v>
      </c>
    </row>
    <row r="313" spans="1:8" s="1108" customFormat="1" ht="13.5" customHeight="1" x14ac:dyDescent="0.25">
      <c r="A313" s="1127" t="s">
        <v>1002</v>
      </c>
      <c r="B313" s="1126">
        <v>300</v>
      </c>
      <c r="C313" s="1123">
        <v>1.06</v>
      </c>
      <c r="D313" s="1119">
        <v>8.5000000000000006E-2</v>
      </c>
      <c r="E313" s="1119">
        <v>4</v>
      </c>
      <c r="F313" s="1119">
        <v>8</v>
      </c>
      <c r="G313" s="1119">
        <v>0.09</v>
      </c>
      <c r="H313" s="1119">
        <v>0.11</v>
      </c>
    </row>
    <row r="314" spans="1:8" s="1108" customFormat="1" ht="13.5" customHeight="1" x14ac:dyDescent="0.25">
      <c r="A314" s="1127" t="s">
        <v>1002</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1002</v>
      </c>
      <c r="B315" s="1126">
        <v>150</v>
      </c>
      <c r="C315" s="1123">
        <v>1.06</v>
      </c>
      <c r="D315" s="1119">
        <v>5.5E-2</v>
      </c>
      <c r="E315" s="1119">
        <v>4</v>
      </c>
      <c r="F315" s="1119">
        <v>8</v>
      </c>
      <c r="G315" s="1119">
        <v>5.7000000000000002E-2</v>
      </c>
      <c r="H315" s="1119">
        <v>0.06</v>
      </c>
    </row>
    <row r="316" spans="1:8" s="1108" customFormat="1" ht="13.5" customHeight="1" x14ac:dyDescent="0.25">
      <c r="A316" s="1121" t="s">
        <v>1097</v>
      </c>
      <c r="B316" s="1119">
        <v>1000</v>
      </c>
      <c r="C316" s="1123">
        <v>0.84</v>
      </c>
      <c r="D316" s="1119">
        <v>0.28999999999999998</v>
      </c>
      <c r="E316" s="1119">
        <v>10</v>
      </c>
      <c r="F316" s="1119">
        <v>15</v>
      </c>
      <c r="G316" s="1119">
        <v>0.41</v>
      </c>
      <c r="H316" s="1119">
        <v>0.47</v>
      </c>
    </row>
    <row r="317" spans="1:8" s="1108" customFormat="1" ht="13.5" customHeight="1" x14ac:dyDescent="0.25">
      <c r="A317" s="1119" t="s">
        <v>1005</v>
      </c>
      <c r="B317" s="1126">
        <v>800</v>
      </c>
      <c r="C317" s="1123">
        <v>0.84</v>
      </c>
      <c r="D317" s="1119">
        <v>0.21</v>
      </c>
      <c r="E317" s="1119">
        <v>10</v>
      </c>
      <c r="F317" s="1119">
        <v>15</v>
      </c>
      <c r="G317" s="1119">
        <v>0.33</v>
      </c>
      <c r="H317" s="1119">
        <v>0.37</v>
      </c>
    </row>
    <row r="318" spans="1:8" s="1108" customFormat="1" ht="13.5" customHeight="1" x14ac:dyDescent="0.25">
      <c r="A318" s="1127" t="s">
        <v>1002</v>
      </c>
      <c r="B318" s="1119">
        <v>600</v>
      </c>
      <c r="C318" s="1123">
        <v>0.84</v>
      </c>
      <c r="D318" s="1119">
        <v>0.14000000000000001</v>
      </c>
      <c r="E318" s="1119">
        <v>8</v>
      </c>
      <c r="F318" s="1119">
        <v>12</v>
      </c>
      <c r="G318" s="1119">
        <v>0.22</v>
      </c>
      <c r="H318" s="1119">
        <v>0.26</v>
      </c>
    </row>
    <row r="319" spans="1:8" s="1108" customFormat="1" ht="13.5" customHeight="1" x14ac:dyDescent="0.25">
      <c r="A319" s="1127" t="s">
        <v>1002</v>
      </c>
      <c r="B319" s="1119">
        <v>400</v>
      </c>
      <c r="C319" s="1123">
        <v>0.84</v>
      </c>
      <c r="D319" s="1119">
        <v>0.11</v>
      </c>
      <c r="E319" s="1119">
        <v>8</v>
      </c>
      <c r="F319" s="1119">
        <v>12</v>
      </c>
      <c r="G319" s="1119">
        <v>0.14000000000000001</v>
      </c>
      <c r="H319" s="1119">
        <v>0.15</v>
      </c>
    </row>
    <row r="320" spans="1:8" s="1108" customFormat="1" ht="13.5" customHeight="1" x14ac:dyDescent="0.25">
      <c r="A320" s="1119" t="s">
        <v>1097</v>
      </c>
      <c r="B320" s="1126">
        <v>300</v>
      </c>
      <c r="C320" s="1123">
        <v>0.84</v>
      </c>
      <c r="D320" s="1119">
        <v>0.08</v>
      </c>
      <c r="E320" s="1119">
        <v>8</v>
      </c>
      <c r="F320" s="1119">
        <v>12</v>
      </c>
      <c r="G320" s="1119">
        <v>0.11</v>
      </c>
      <c r="H320" s="1119">
        <v>0.13</v>
      </c>
    </row>
    <row r="321" spans="1:8" s="1108" customFormat="1" ht="13.5" customHeight="1" x14ac:dyDescent="0.25">
      <c r="A321" s="1119" t="s">
        <v>1098</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1005</v>
      </c>
      <c r="B322" s="1119">
        <v>1000</v>
      </c>
      <c r="C322" s="1123">
        <v>0.84</v>
      </c>
      <c r="D322" s="1119">
        <v>0.23</v>
      </c>
      <c r="E322" s="1119">
        <v>15</v>
      </c>
      <c r="F322" s="1119">
        <v>22</v>
      </c>
      <c r="G322" s="1119">
        <v>0.44</v>
      </c>
      <c r="H322" s="1119">
        <v>0.5</v>
      </c>
    </row>
    <row r="323" spans="1:8" s="1108" customFormat="1" ht="13.5" customHeight="1" x14ac:dyDescent="0.25">
      <c r="A323" s="1127" t="s">
        <v>1002</v>
      </c>
      <c r="B323" s="1126">
        <v>800</v>
      </c>
      <c r="C323" s="1123">
        <v>0.84</v>
      </c>
      <c r="D323" s="1119">
        <v>0.17</v>
      </c>
      <c r="E323" s="1119">
        <v>15</v>
      </c>
      <c r="F323" s="1119">
        <v>22</v>
      </c>
      <c r="G323" s="1119">
        <v>0.35</v>
      </c>
      <c r="H323" s="1119">
        <v>0.41</v>
      </c>
    </row>
    <row r="324" spans="1:8" s="1108" customFormat="1" ht="13.5" customHeight="1" x14ac:dyDescent="0.25">
      <c r="A324" s="2560" t="s">
        <v>1099</v>
      </c>
      <c r="B324" s="2560"/>
      <c r="C324" s="2560"/>
      <c r="D324" s="2560"/>
      <c r="E324" s="2560"/>
      <c r="F324" s="2560"/>
      <c r="G324" s="2560"/>
      <c r="H324" s="2560"/>
    </row>
    <row r="325" spans="1:8" s="1108" customFormat="1" ht="13.5" customHeight="1" x14ac:dyDescent="0.25">
      <c r="A325" s="1119" t="s">
        <v>1100</v>
      </c>
      <c r="B325" s="1119">
        <v>1800</v>
      </c>
      <c r="C325" s="1123">
        <v>0.88</v>
      </c>
      <c r="D325" s="1119">
        <v>0.56000000000000005</v>
      </c>
      <c r="E325" s="1119">
        <v>1</v>
      </c>
      <c r="F325" s="1119">
        <v>2</v>
      </c>
      <c r="G325" s="1119">
        <v>0.7</v>
      </c>
      <c r="H325" s="1119">
        <v>0.81</v>
      </c>
    </row>
    <row r="326" spans="1:8" s="1108" customFormat="1" ht="13.5" customHeight="1" x14ac:dyDescent="0.25">
      <c r="A326" s="1119" t="s">
        <v>1101</v>
      </c>
      <c r="B326" s="1119">
        <v>1700</v>
      </c>
      <c r="C326" s="1123">
        <v>0.88</v>
      </c>
      <c r="D326" s="1119">
        <v>0.52</v>
      </c>
      <c r="E326" s="1119">
        <v>1.5</v>
      </c>
      <c r="F326" s="1119">
        <v>3</v>
      </c>
      <c r="G326" s="1119">
        <v>0.64</v>
      </c>
      <c r="H326" s="1119">
        <v>0.76</v>
      </c>
    </row>
    <row r="327" spans="1:8" s="1108" customFormat="1" ht="13.5" customHeight="1" x14ac:dyDescent="0.25">
      <c r="A327" s="1119" t="s">
        <v>1102</v>
      </c>
      <c r="B327" s="1119">
        <v>1600</v>
      </c>
      <c r="C327" s="1123">
        <v>0.88</v>
      </c>
      <c r="D327" s="1119">
        <v>0.47</v>
      </c>
      <c r="E327" s="1119">
        <v>2</v>
      </c>
      <c r="F327" s="1119">
        <v>4</v>
      </c>
      <c r="G327" s="1119">
        <v>0.57999999999999996</v>
      </c>
      <c r="H327" s="1119">
        <v>0.7</v>
      </c>
    </row>
    <row r="328" spans="1:8" s="1108" customFormat="1" ht="13.5" customHeight="1" x14ac:dyDescent="0.25">
      <c r="A328" s="1119" t="s">
        <v>1103</v>
      </c>
      <c r="B328" s="1119">
        <v>1800</v>
      </c>
      <c r="C328" s="1123">
        <v>0.88</v>
      </c>
      <c r="D328" s="1119">
        <v>0.7</v>
      </c>
      <c r="E328" s="1119">
        <v>2</v>
      </c>
      <c r="F328" s="1119">
        <v>4</v>
      </c>
      <c r="G328" s="1119">
        <v>0.76</v>
      </c>
      <c r="H328" s="1119">
        <v>0.87</v>
      </c>
    </row>
    <row r="329" spans="1:8" s="1108" customFormat="1" ht="13.5" customHeight="1" x14ac:dyDescent="0.25">
      <c r="A329" s="1119" t="s">
        <v>1104</v>
      </c>
      <c r="B329" s="1119">
        <v>1200</v>
      </c>
      <c r="C329" s="1123">
        <v>0.88</v>
      </c>
      <c r="D329" s="1119">
        <v>0.35</v>
      </c>
      <c r="E329" s="1119">
        <v>2</v>
      </c>
      <c r="F329" s="1119">
        <v>4</v>
      </c>
      <c r="G329" s="1119">
        <v>0.47</v>
      </c>
      <c r="H329" s="1119">
        <v>0.52</v>
      </c>
    </row>
    <row r="330" spans="1:8" s="1108" customFormat="1" ht="13.5" customHeight="1" x14ac:dyDescent="0.25">
      <c r="A330" s="1119" t="s">
        <v>1005</v>
      </c>
      <c r="B330" s="1119">
        <v>1000</v>
      </c>
      <c r="C330" s="1123">
        <v>0.88</v>
      </c>
      <c r="D330" s="1119">
        <v>0.28999999999999998</v>
      </c>
      <c r="E330" s="1119">
        <v>2</v>
      </c>
      <c r="F330" s="1119">
        <v>4</v>
      </c>
      <c r="G330" s="1119">
        <v>0.41</v>
      </c>
      <c r="H330" s="1119">
        <v>0.47</v>
      </c>
    </row>
    <row r="331" spans="1:8" s="1108" customFormat="1" ht="13.5" customHeight="1" x14ac:dyDescent="0.25">
      <c r="A331" s="1119" t="s">
        <v>1105</v>
      </c>
      <c r="B331" s="1119">
        <v>1500</v>
      </c>
      <c r="C331" s="1123">
        <v>0.88</v>
      </c>
      <c r="D331" s="1119">
        <v>0.52</v>
      </c>
      <c r="E331" s="1119">
        <v>1.5</v>
      </c>
      <c r="F331" s="1119">
        <v>3</v>
      </c>
      <c r="G331" s="1119">
        <v>0.64</v>
      </c>
      <c r="H331" s="1119">
        <v>0.7</v>
      </c>
    </row>
    <row r="332" spans="1:8" s="1108" customFormat="1" ht="13.5" customHeight="1" x14ac:dyDescent="0.25">
      <c r="A332" s="2560" t="s">
        <v>1106</v>
      </c>
      <c r="B332" s="2560"/>
      <c r="C332" s="2560"/>
      <c r="D332" s="2560"/>
      <c r="E332" s="2560"/>
      <c r="F332" s="2560"/>
      <c r="G332" s="2560"/>
      <c r="H332" s="2560"/>
    </row>
    <row r="333" spans="1:8" s="1108" customFormat="1" ht="13.5" customHeight="1" x14ac:dyDescent="0.25">
      <c r="A333" s="1119" t="s">
        <v>1107</v>
      </c>
      <c r="B333" s="1119">
        <v>1600</v>
      </c>
      <c r="C333" s="1123">
        <v>0.88</v>
      </c>
      <c r="D333" s="1119">
        <v>0.47</v>
      </c>
      <c r="E333" s="1119">
        <v>1</v>
      </c>
      <c r="F333" s="1119">
        <v>2</v>
      </c>
      <c r="G333" s="1119">
        <v>0.57999999999999996</v>
      </c>
      <c r="H333" s="1119">
        <v>0.64</v>
      </c>
    </row>
    <row r="334" spans="1:8" s="1108" customFormat="1" ht="13.5" customHeight="1" x14ac:dyDescent="0.25">
      <c r="A334" s="1119" t="s">
        <v>1108</v>
      </c>
      <c r="B334" s="1119">
        <v>1400</v>
      </c>
      <c r="C334" s="1123">
        <v>0.88</v>
      </c>
      <c r="D334" s="1119">
        <v>0.41</v>
      </c>
      <c r="E334" s="1119">
        <v>1</v>
      </c>
      <c r="F334" s="1119">
        <v>2</v>
      </c>
      <c r="G334" s="1119">
        <v>0.52</v>
      </c>
      <c r="H334" s="1119">
        <v>0.57999999999999996</v>
      </c>
    </row>
    <row r="335" spans="1:8" s="1108" customFormat="1" ht="13.5" customHeight="1" x14ac:dyDescent="0.25">
      <c r="A335" s="1119" t="s">
        <v>1109</v>
      </c>
      <c r="B335" s="1119">
        <v>1200</v>
      </c>
      <c r="C335" s="1123">
        <v>0.88</v>
      </c>
      <c r="D335" s="1119">
        <v>0.35</v>
      </c>
      <c r="E335" s="1119">
        <v>1</v>
      </c>
      <c r="F335" s="1119">
        <v>2</v>
      </c>
      <c r="G335" s="1119">
        <v>0.47</v>
      </c>
      <c r="H335" s="1119">
        <v>0.52</v>
      </c>
    </row>
    <row r="336" spans="1:8" s="1108" customFormat="1" ht="13.5" customHeight="1" x14ac:dyDescent="0.25">
      <c r="A336" s="1119" t="s">
        <v>1110</v>
      </c>
      <c r="B336" s="1119">
        <v>1500</v>
      </c>
      <c r="C336" s="1123">
        <v>0.88</v>
      </c>
      <c r="D336" s="1119">
        <v>0.64</v>
      </c>
      <c r="E336" s="1119">
        <v>2</v>
      </c>
      <c r="F336" s="1119">
        <v>4</v>
      </c>
      <c r="G336" s="1119">
        <v>0.7</v>
      </c>
      <c r="H336" s="1119">
        <v>0.81</v>
      </c>
    </row>
    <row r="337" spans="1:10" s="1108" customFormat="1" ht="13.5" customHeight="1" x14ac:dyDescent="0.25">
      <c r="A337" s="1119" t="s">
        <v>1111</v>
      </c>
      <c r="B337" s="2550">
        <v>1400</v>
      </c>
      <c r="C337" s="2553">
        <v>0.88</v>
      </c>
      <c r="D337" s="2550">
        <v>0.52</v>
      </c>
      <c r="E337" s="2550">
        <v>2</v>
      </c>
      <c r="F337" s="2550">
        <v>4</v>
      </c>
      <c r="G337" s="2550">
        <v>0.64</v>
      </c>
      <c r="H337" s="2550">
        <v>0.76</v>
      </c>
    </row>
    <row r="338" spans="1:10" s="1108" customFormat="1" ht="13.5" customHeight="1" x14ac:dyDescent="0.25">
      <c r="A338" s="1119" t="s">
        <v>1112</v>
      </c>
      <c r="B338" s="2550"/>
      <c r="C338" s="2553"/>
      <c r="D338" s="2550"/>
      <c r="E338" s="2550"/>
      <c r="F338" s="2550"/>
      <c r="G338" s="2550"/>
      <c r="H338" s="2550"/>
    </row>
    <row r="339" spans="1:10" s="1108" customFormat="1" ht="13.5" customHeight="1" x14ac:dyDescent="0.25">
      <c r="A339" s="2551" t="s">
        <v>1113</v>
      </c>
      <c r="B339" s="2551"/>
      <c r="C339" s="2551"/>
      <c r="D339" s="2551"/>
      <c r="E339" s="2551"/>
      <c r="F339" s="2551"/>
      <c r="G339" s="2551"/>
      <c r="H339" s="2551"/>
    </row>
    <row r="340" spans="1:10" s="1108" customFormat="1" ht="13.5" customHeight="1" x14ac:dyDescent="0.25">
      <c r="A340" s="1119" t="s">
        <v>1114</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1115</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1116</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1117</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1118</v>
      </c>
      <c r="B344" s="1119">
        <v>600</v>
      </c>
      <c r="C344" s="1123">
        <v>2.2999999999999998</v>
      </c>
      <c r="D344" s="1119">
        <v>0.12</v>
      </c>
      <c r="E344" s="1119">
        <v>10</v>
      </c>
      <c r="F344" s="1119">
        <v>13</v>
      </c>
      <c r="G344" s="1119">
        <v>0.15</v>
      </c>
      <c r="H344" s="1119">
        <v>0.18</v>
      </c>
    </row>
    <row r="345" spans="1:10" s="1108" customFormat="1" ht="13.5" customHeight="1" x14ac:dyDescent="0.25">
      <c r="A345" s="1119" t="s">
        <v>1119</v>
      </c>
      <c r="B345" s="1119">
        <v>1000</v>
      </c>
      <c r="C345" s="1123">
        <v>2.2999999999999998</v>
      </c>
      <c r="D345" s="1119">
        <v>0.18</v>
      </c>
      <c r="E345" s="1119">
        <v>5</v>
      </c>
      <c r="F345" s="1119">
        <v>10</v>
      </c>
      <c r="G345" s="1119">
        <v>0.21</v>
      </c>
      <c r="H345" s="1119">
        <v>0.23</v>
      </c>
    </row>
    <row r="346" spans="1:10" s="1108" customFormat="1" ht="13.5" customHeight="1" x14ac:dyDescent="0.25">
      <c r="A346" s="1119" t="s">
        <v>1120</v>
      </c>
      <c r="B346" s="1119">
        <v>650</v>
      </c>
      <c r="C346" s="1123">
        <v>2.2999999999999998</v>
      </c>
      <c r="D346" s="1119">
        <v>0.13</v>
      </c>
      <c r="E346" s="1119">
        <v>6</v>
      </c>
      <c r="F346" s="1119">
        <v>12</v>
      </c>
      <c r="G346" s="1119">
        <v>0.15</v>
      </c>
      <c r="H346" s="1119">
        <v>0.18</v>
      </c>
    </row>
    <row r="347" spans="1:10" s="1108" customFormat="1" ht="13.5" customHeight="1" x14ac:dyDescent="0.25">
      <c r="A347" s="2552" t="s">
        <v>1121</v>
      </c>
      <c r="B347" s="2552"/>
      <c r="C347" s="2552"/>
      <c r="D347" s="2552"/>
      <c r="E347" s="2552"/>
      <c r="F347" s="2552"/>
      <c r="G347" s="2552"/>
      <c r="H347" s="2552"/>
      <c r="J347" s="1108">
        <v>4.1000000000000002E-2</v>
      </c>
    </row>
    <row r="348" spans="1:10" s="1108" customFormat="1" ht="13.5" customHeight="1" x14ac:dyDescent="0.25">
      <c r="A348" s="2551" t="s">
        <v>1122</v>
      </c>
      <c r="B348" s="2551"/>
      <c r="C348" s="2551"/>
      <c r="D348" s="2551"/>
      <c r="E348" s="2551"/>
      <c r="F348" s="2551"/>
      <c r="G348" s="2551"/>
      <c r="H348" s="2551"/>
    </row>
    <row r="349" spans="1:10" s="1108" customFormat="1" ht="13.5" customHeight="1" x14ac:dyDescent="0.25">
      <c r="A349" s="1128" t="s">
        <v>1123</v>
      </c>
      <c r="B349" s="1119">
        <v>2500</v>
      </c>
      <c r="C349" s="1119">
        <v>0.84</v>
      </c>
      <c r="D349" s="1119">
        <v>1.69</v>
      </c>
      <c r="E349" s="1119">
        <v>2</v>
      </c>
      <c r="F349" s="1119">
        <v>3</v>
      </c>
      <c r="G349" s="1119">
        <v>1.92</v>
      </c>
      <c r="H349" s="1119">
        <v>2.04</v>
      </c>
    </row>
    <row r="350" spans="1:10" s="1108" customFormat="1" ht="13.5" customHeight="1" x14ac:dyDescent="0.25">
      <c r="A350" s="1119" t="s">
        <v>1124</v>
      </c>
      <c r="B350" s="1119">
        <v>2400</v>
      </c>
      <c r="C350" s="1119">
        <v>0.84</v>
      </c>
      <c r="D350" s="1119">
        <v>1.51</v>
      </c>
      <c r="E350" s="1119">
        <v>2</v>
      </c>
      <c r="F350" s="1119">
        <v>3</v>
      </c>
      <c r="G350" s="1119">
        <v>1.74</v>
      </c>
      <c r="H350" s="1119">
        <v>1.86</v>
      </c>
    </row>
    <row r="351" spans="1:10" s="1108" customFormat="1" ht="13.5" customHeight="1" x14ac:dyDescent="0.25">
      <c r="A351" s="1119" t="s">
        <v>1125</v>
      </c>
      <c r="B351" s="1119">
        <v>1800</v>
      </c>
      <c r="C351" s="1119">
        <v>0.84</v>
      </c>
      <c r="D351" s="1119">
        <v>0.57999999999999996</v>
      </c>
      <c r="E351" s="1119">
        <v>2</v>
      </c>
      <c r="F351" s="1119">
        <v>4</v>
      </c>
      <c r="G351" s="1119">
        <v>0.76</v>
      </c>
      <c r="H351" s="1119">
        <v>0.93</v>
      </c>
    </row>
    <row r="352" spans="1:10" s="1108" customFormat="1" ht="13.5" customHeight="1" x14ac:dyDescent="0.25">
      <c r="A352" s="1119" t="s">
        <v>1126</v>
      </c>
      <c r="B352" s="1119">
        <v>1700</v>
      </c>
      <c r="C352" s="1119">
        <v>0.84</v>
      </c>
      <c r="D352" s="1119">
        <v>0.52</v>
      </c>
      <c r="E352" s="1119">
        <v>2</v>
      </c>
      <c r="F352" s="1119">
        <v>4</v>
      </c>
      <c r="G352" s="1119">
        <v>0.7</v>
      </c>
      <c r="H352" s="1119">
        <v>0.87</v>
      </c>
    </row>
    <row r="353" spans="1:8" s="1108" customFormat="1" ht="13.5" customHeight="1" x14ac:dyDescent="0.25">
      <c r="A353" s="1119" t="s">
        <v>1127</v>
      </c>
      <c r="B353" s="1119">
        <v>1600</v>
      </c>
      <c r="C353" s="1119">
        <v>0.84</v>
      </c>
      <c r="D353" s="1119">
        <v>0.47</v>
      </c>
      <c r="E353" s="1119">
        <v>2</v>
      </c>
      <c r="F353" s="1119">
        <v>4</v>
      </c>
      <c r="G353" s="1119">
        <v>0.7</v>
      </c>
      <c r="H353" s="1119">
        <v>0.81</v>
      </c>
    </row>
    <row r="354" spans="1:8" s="1108" customFormat="1" ht="13.5" customHeight="1" x14ac:dyDescent="0.25">
      <c r="A354" s="2551" t="s">
        <v>1128</v>
      </c>
      <c r="B354" s="2551"/>
      <c r="C354" s="2551"/>
      <c r="D354" s="2551"/>
      <c r="E354" s="2551"/>
      <c r="F354" s="2551"/>
      <c r="G354" s="2551"/>
      <c r="H354" s="2551"/>
    </row>
    <row r="355" spans="1:8" s="1108" customFormat="1" ht="13.5" customHeight="1" x14ac:dyDescent="0.25">
      <c r="A355" s="1119" t="s">
        <v>1129</v>
      </c>
      <c r="B355" s="1119">
        <v>2800</v>
      </c>
      <c r="C355" s="1119">
        <v>0.88</v>
      </c>
      <c r="D355" s="1119">
        <v>3.49</v>
      </c>
      <c r="E355" s="1119">
        <v>0</v>
      </c>
      <c r="F355" s="1119">
        <v>0</v>
      </c>
      <c r="G355" s="1119">
        <v>3.49</v>
      </c>
      <c r="H355" s="1119">
        <v>3.49</v>
      </c>
    </row>
    <row r="356" spans="1:8" s="1108" customFormat="1" ht="13.5" customHeight="1" x14ac:dyDescent="0.25">
      <c r="A356" s="1119" t="s">
        <v>1130</v>
      </c>
      <c r="B356" s="1119">
        <v>2800</v>
      </c>
      <c r="C356" s="1119">
        <v>0.88</v>
      </c>
      <c r="D356" s="1119">
        <v>2.91</v>
      </c>
      <c r="E356" s="1119">
        <v>0</v>
      </c>
      <c r="F356" s="1119">
        <v>0</v>
      </c>
      <c r="G356" s="1119">
        <v>2.91</v>
      </c>
      <c r="H356" s="1119">
        <v>2.91</v>
      </c>
    </row>
    <row r="357" spans="1:8" s="1108" customFormat="1" ht="13.5" customHeight="1" x14ac:dyDescent="0.25">
      <c r="A357" s="1119" t="s">
        <v>1131</v>
      </c>
      <c r="B357" s="1119">
        <v>2000</v>
      </c>
      <c r="C357" s="1119">
        <v>0.88</v>
      </c>
      <c r="D357" s="1119">
        <v>0.93</v>
      </c>
      <c r="E357" s="1119">
        <v>2</v>
      </c>
      <c r="F357" s="1119">
        <v>3</v>
      </c>
      <c r="G357" s="1119">
        <v>1.1599999999999999</v>
      </c>
      <c r="H357" s="1119">
        <v>1.28</v>
      </c>
    </row>
    <row r="358" spans="1:8" s="1108" customFormat="1" ht="13.5" customHeight="1" x14ac:dyDescent="0.25">
      <c r="A358" s="1129" t="s">
        <v>1002</v>
      </c>
      <c r="B358" s="1119">
        <v>1800</v>
      </c>
      <c r="C358" s="1119">
        <v>0.88</v>
      </c>
      <c r="D358" s="1119">
        <v>0.7</v>
      </c>
      <c r="E358" s="1119">
        <v>2</v>
      </c>
      <c r="F358" s="1119">
        <v>3</v>
      </c>
      <c r="G358" s="1119">
        <v>0.93</v>
      </c>
      <c r="H358" s="1119">
        <v>1.05</v>
      </c>
    </row>
    <row r="359" spans="1:8" s="1108" customFormat="1" ht="13.5" customHeight="1" x14ac:dyDescent="0.25">
      <c r="A359" s="1119" t="s">
        <v>1131</v>
      </c>
      <c r="B359" s="1119">
        <v>1600</v>
      </c>
      <c r="C359" s="1119">
        <v>0.88</v>
      </c>
      <c r="D359" s="1119">
        <v>0.57999999999999996</v>
      </c>
      <c r="E359" s="1119">
        <v>2</v>
      </c>
      <c r="F359" s="1119">
        <v>3</v>
      </c>
      <c r="G359" s="1119">
        <v>0.73</v>
      </c>
      <c r="H359" s="1119">
        <v>0.81</v>
      </c>
    </row>
    <row r="360" spans="1:8" s="1108" customFormat="1" ht="13.5" customHeight="1" x14ac:dyDescent="0.25">
      <c r="A360" s="1129" t="s">
        <v>1002</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1132</v>
      </c>
      <c r="B361" s="1119">
        <v>2000</v>
      </c>
      <c r="C361" s="1119">
        <v>0.88</v>
      </c>
      <c r="D361" s="1119">
        <v>0.76</v>
      </c>
      <c r="E361" s="1119">
        <v>3</v>
      </c>
      <c r="F361" s="1119">
        <v>5</v>
      </c>
      <c r="G361" s="1119">
        <v>0.93</v>
      </c>
      <c r="H361" s="1119">
        <v>1.05</v>
      </c>
    </row>
    <row r="362" spans="1:8" s="1108" customFormat="1" ht="13.5" customHeight="1" x14ac:dyDescent="0.25">
      <c r="A362" s="1129" t="s">
        <v>1002</v>
      </c>
      <c r="B362" s="1119">
        <v>1800</v>
      </c>
      <c r="C362" s="1119">
        <v>0.88</v>
      </c>
      <c r="D362" s="1119">
        <v>0.56000000000000005</v>
      </c>
      <c r="E362" s="1119">
        <v>3</v>
      </c>
      <c r="F362" s="1119">
        <v>5</v>
      </c>
      <c r="G362" s="1119">
        <v>0.7</v>
      </c>
      <c r="H362" s="1119">
        <v>0.81</v>
      </c>
    </row>
    <row r="363" spans="1:8" s="1108" customFormat="1" ht="13.5" customHeight="1" x14ac:dyDescent="0.25">
      <c r="A363" s="1129" t="s">
        <v>1002</v>
      </c>
      <c r="B363" s="1119">
        <v>1600</v>
      </c>
      <c r="C363" s="1119">
        <v>0.88</v>
      </c>
      <c r="D363" s="1119">
        <v>0.41</v>
      </c>
      <c r="E363" s="1119">
        <v>3</v>
      </c>
      <c r="F363" s="1119">
        <v>5</v>
      </c>
      <c r="G363" s="1119">
        <v>0.52</v>
      </c>
      <c r="H363" s="1119">
        <v>0.64</v>
      </c>
    </row>
    <row r="364" spans="1:8" s="1108" customFormat="1" ht="13.5" customHeight="1" x14ac:dyDescent="0.25">
      <c r="A364" s="1129" t="s">
        <v>1002</v>
      </c>
      <c r="B364" s="1119">
        <v>1400</v>
      </c>
      <c r="C364" s="1119">
        <v>0.88</v>
      </c>
      <c r="D364" s="1119">
        <v>0.33</v>
      </c>
      <c r="E364" s="1119">
        <v>3</v>
      </c>
      <c r="F364" s="1119">
        <v>5</v>
      </c>
      <c r="G364" s="1119">
        <v>0.43</v>
      </c>
      <c r="H364" s="1119">
        <v>0.52</v>
      </c>
    </row>
    <row r="365" spans="1:8" s="1108" customFormat="1" ht="13.5" customHeight="1" x14ac:dyDescent="0.25">
      <c r="A365" s="1129" t="s">
        <v>1002</v>
      </c>
      <c r="B365" s="1119">
        <v>1200</v>
      </c>
      <c r="C365" s="1119">
        <v>0.88</v>
      </c>
      <c r="D365" s="1119">
        <v>0.27</v>
      </c>
      <c r="E365" s="1119">
        <v>3</v>
      </c>
      <c r="F365" s="1119">
        <v>5</v>
      </c>
      <c r="G365" s="1119">
        <v>0.35</v>
      </c>
      <c r="H365" s="1119">
        <v>0.41</v>
      </c>
    </row>
    <row r="366" spans="1:8" s="1108" customFormat="1" ht="13.5" customHeight="1" x14ac:dyDescent="0.25">
      <c r="A366" s="1129" t="s">
        <v>1002</v>
      </c>
      <c r="B366" s="1119">
        <v>1000</v>
      </c>
      <c r="C366" s="1119">
        <v>0.88</v>
      </c>
      <c r="D366" s="1119">
        <v>0.21</v>
      </c>
      <c r="E366" s="1119">
        <v>3</v>
      </c>
      <c r="F366" s="1119">
        <v>5</v>
      </c>
      <c r="G366" s="1119">
        <v>0.24</v>
      </c>
      <c r="H366" s="1119">
        <v>0.28999999999999998</v>
      </c>
    </row>
    <row r="367" spans="1:8" s="1108" customFormat="1" ht="13.5" customHeight="1" x14ac:dyDescent="0.25">
      <c r="A367" s="2556" t="s">
        <v>1133</v>
      </c>
      <c r="B367" s="2556"/>
      <c r="C367" s="2556"/>
      <c r="D367" s="2556"/>
      <c r="E367" s="2556"/>
      <c r="F367" s="2556"/>
      <c r="G367" s="2556"/>
      <c r="H367" s="2556"/>
    </row>
    <row r="368" spans="1:8" s="1108" customFormat="1" ht="13.5" customHeight="1" x14ac:dyDescent="0.25">
      <c r="A368" s="1119" t="s">
        <v>1134</v>
      </c>
      <c r="B368" s="1119">
        <v>1800</v>
      </c>
      <c r="C368" s="1119">
        <v>0.84</v>
      </c>
      <c r="D368" s="1119">
        <v>0.35</v>
      </c>
      <c r="E368" s="1119">
        <v>2</v>
      </c>
      <c r="F368" s="1119">
        <v>3</v>
      </c>
      <c r="G368" s="1119">
        <v>0.47</v>
      </c>
      <c r="H368" s="1119">
        <v>0.52</v>
      </c>
    </row>
    <row r="369" spans="1:15" s="1108" customFormat="1" ht="13.5" customHeight="1" x14ac:dyDescent="0.25">
      <c r="A369" s="1119" t="s">
        <v>1005</v>
      </c>
      <c r="B369" s="1119">
        <v>1600</v>
      </c>
      <c r="C369" s="1119">
        <v>0.84</v>
      </c>
      <c r="D369" s="1119">
        <v>0.23</v>
      </c>
      <c r="E369" s="1119">
        <v>2</v>
      </c>
      <c r="F369" s="1119">
        <v>3</v>
      </c>
      <c r="G369" s="1119">
        <v>0.35</v>
      </c>
      <c r="H369" s="1119">
        <v>0.41</v>
      </c>
    </row>
    <row r="370" spans="1:15" ht="24" x14ac:dyDescent="0.25">
      <c r="A370" s="1119" t="s">
        <v>1135</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1005</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1002</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1136</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1137</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1138</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1005</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1139</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1005</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1002</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51" t="s">
        <v>1140</v>
      </c>
      <c r="B380" s="2551"/>
      <c r="C380" s="2551"/>
      <c r="D380" s="2551"/>
      <c r="E380" s="2551"/>
      <c r="F380" s="2551"/>
      <c r="G380" s="2551"/>
      <c r="H380" s="2551"/>
      <c r="I380" s="1108"/>
      <c r="J380" s="1108"/>
      <c r="K380" s="1108"/>
      <c r="L380" s="1108"/>
      <c r="M380" s="1108"/>
      <c r="N380" s="1108"/>
      <c r="O380" s="1108"/>
    </row>
    <row r="381" spans="1:15" ht="24" x14ac:dyDescent="0.25">
      <c r="A381" s="1119" t="s">
        <v>1141</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1142</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1143</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1144</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1145</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1446</v>
      </c>
    </row>
    <row r="391" spans="1:15" x14ac:dyDescent="0.25">
      <c r="A391" s="1131"/>
      <c r="B391" s="71" t="s">
        <v>1437</v>
      </c>
      <c r="C391" s="71" t="s">
        <v>1438</v>
      </c>
      <c r="D391" s="71" t="s">
        <v>1439</v>
      </c>
      <c r="E391" s="71" t="s">
        <v>1440</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1447</v>
      </c>
    </row>
    <row r="401" spans="1:5" x14ac:dyDescent="0.25">
      <c r="A401" s="1131"/>
      <c r="B401" s="71" t="s">
        <v>1437</v>
      </c>
      <c r="C401" s="71" t="s">
        <v>1438</v>
      </c>
      <c r="D401" s="71" t="s">
        <v>1439</v>
      </c>
      <c r="E401" s="71" t="s">
        <v>1440</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1441</v>
      </c>
    </row>
    <row r="411" spans="1:5" x14ac:dyDescent="0.25">
      <c r="A411" s="71"/>
      <c r="B411" s="71" t="s">
        <v>1444</v>
      </c>
      <c r="C411" s="71" t="s">
        <v>1445</v>
      </c>
    </row>
    <row r="412" spans="1:5" x14ac:dyDescent="0.25">
      <c r="A412" s="71" t="s">
        <v>514</v>
      </c>
      <c r="B412" s="260">
        <f>B399+B398*Климатология!$I$2</f>
        <v>1.9474999999999996</v>
      </c>
      <c r="C412" s="260">
        <f>B409+B408*Климатология!$I$2</f>
        <v>3.4081250000000001</v>
      </c>
    </row>
    <row r="413" spans="1:5" x14ac:dyDescent="0.25">
      <c r="A413" s="71" t="s">
        <v>1438</v>
      </c>
      <c r="B413" s="260">
        <f>C399+C398*Климатология!$I$2</f>
        <v>3.1081250000000002</v>
      </c>
      <c r="C413" s="260">
        <f>C409+C408*Климатология!$I$2</f>
        <v>5.0687499999999996</v>
      </c>
    </row>
    <row r="414" spans="1:5" x14ac:dyDescent="0.25">
      <c r="A414" s="71" t="s">
        <v>1439</v>
      </c>
      <c r="B414" s="260">
        <f>D399+D398*Климатология!$I$2</f>
        <v>2.7212500000000004</v>
      </c>
      <c r="C414" s="260">
        <f>D409+D408*Климатология!$I$2</f>
        <v>4.4818750000000005</v>
      </c>
    </row>
    <row r="415" spans="1:5" x14ac:dyDescent="0.25">
      <c r="A415" s="71" t="s">
        <v>1440</v>
      </c>
      <c r="B415" s="260">
        <f>E399+E398*Климатология!$I$2</f>
        <v>0.44343750000000004</v>
      </c>
      <c r="C415" s="260">
        <f>E409+E408*Климатология!$I$2</f>
        <v>0.44343750000000004</v>
      </c>
    </row>
  </sheetData>
  <sheetProtection password="ECB1" sheet="1" objects="1" scenarios="1"/>
  <mergeCells count="53">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 ref="A237:H237"/>
    <mergeCell ref="A245:H245"/>
    <mergeCell ref="A246:H246"/>
    <mergeCell ref="A261:H261"/>
    <mergeCell ref="A308:H308"/>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97:A101"/>
    <mergeCell ref="B97:D97"/>
    <mergeCell ref="E97:H97"/>
    <mergeCell ref="C98:C101"/>
    <mergeCell ref="E98:F98"/>
    <mergeCell ref="E99:F99"/>
    <mergeCell ref="E100:F100"/>
    <mergeCell ref="G98:H100"/>
    <mergeCell ref="A1:U1"/>
    <mergeCell ref="A93:C93"/>
    <mergeCell ref="A74:C74"/>
    <mergeCell ref="A79:C79"/>
    <mergeCell ref="A90:C90"/>
    <mergeCell ref="A91:C91"/>
    <mergeCell ref="A92:C92"/>
    <mergeCell ref="A3:A4"/>
    <mergeCell ref="B3:B4"/>
    <mergeCell ref="C3:H3"/>
    <mergeCell ref="I3:K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55" t="s">
        <v>1397</v>
      </c>
      <c r="B1" s="2455"/>
      <c r="C1" s="2455"/>
      <c r="D1" s="2455"/>
      <c r="E1" s="2455"/>
      <c r="F1" s="2455"/>
      <c r="G1" s="2455"/>
      <c r="H1" s="2455"/>
      <c r="I1" s="2455"/>
      <c r="J1" s="2455"/>
      <c r="K1" s="2455"/>
      <c r="L1" s="2455"/>
      <c r="M1" s="2455"/>
      <c r="N1" s="2455"/>
      <c r="O1" s="2455"/>
      <c r="P1" s="2455"/>
      <c r="Q1" s="2455"/>
      <c r="R1" s="2455"/>
      <c r="S1" s="2455"/>
      <c r="T1" s="2455"/>
      <c r="U1" s="2455"/>
      <c r="V1" s="2455"/>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61" t="s">
        <v>891</v>
      </c>
      <c r="G2" s="2562"/>
      <c r="H2" s="2561" t="s">
        <v>892</v>
      </c>
      <c r="I2" s="2562"/>
    </row>
    <row r="3" spans="1:60" ht="38.25" x14ac:dyDescent="0.25">
      <c r="A3" s="53" t="s">
        <v>762</v>
      </c>
      <c r="B3" s="54" t="s">
        <v>764</v>
      </c>
      <c r="E3" s="52"/>
      <c r="F3" s="55">
        <v>0</v>
      </c>
      <c r="G3" s="55"/>
      <c r="H3" s="55"/>
      <c r="I3" s="56"/>
    </row>
    <row r="4" spans="1:60" ht="25.5" x14ac:dyDescent="0.25">
      <c r="A4" s="57" t="s">
        <v>765</v>
      </c>
      <c r="B4" s="58">
        <f>0.5</f>
        <v>0.5</v>
      </c>
      <c r="C4" s="51">
        <f>IF(AND($F$9=1,$F$11=0,$F$7=1),1,0)</f>
        <v>0</v>
      </c>
      <c r="D4" s="51">
        <f>IF(AND($H$9=1,$H$11=0,$H$7=1),1,0)</f>
        <v>0</v>
      </c>
      <c r="E4" s="52" t="s">
        <v>794</v>
      </c>
      <c r="F4" s="55">
        <f>IF($F$3=1,1,0)</f>
        <v>0</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0</v>
      </c>
      <c r="D8" s="51">
        <f>IF(AND($H$9=1,$H$11=0,$H$4=1),1,0)</f>
        <v>0</v>
      </c>
      <c r="E8" s="59" t="s">
        <v>739</v>
      </c>
      <c r="F8" s="55">
        <v>1</v>
      </c>
      <c r="G8" s="55"/>
      <c r="H8" s="55"/>
      <c r="I8" s="56"/>
    </row>
    <row r="9" spans="1:60" ht="23.45" customHeight="1" x14ac:dyDescent="0.25">
      <c r="A9" s="57" t="s">
        <v>770</v>
      </c>
      <c r="B9" s="58">
        <f>0.5</f>
        <v>0.5</v>
      </c>
      <c r="C9" s="51">
        <f>IF(AND($F$10=1,$F$11=0,$F$4=1),1,0)</f>
        <v>0</v>
      </c>
      <c r="D9" s="51">
        <f>IF(AND($H$10=1,$H$11=0,$H$4=1),1,0)</f>
        <v>0</v>
      </c>
      <c r="E9" s="59" t="s">
        <v>737</v>
      </c>
      <c r="F9" s="55">
        <f>IF(F8=1,1,0)</f>
        <v>1</v>
      </c>
      <c r="G9" s="55"/>
      <c r="H9" s="55">
        <f>F9</f>
        <v>1</v>
      </c>
      <c r="I9" s="56"/>
    </row>
    <row r="10" spans="1:60" ht="21" customHeight="1" x14ac:dyDescent="0.25">
      <c r="A10" s="57" t="s">
        <v>771</v>
      </c>
      <c r="B10" s="58">
        <f>0.85</f>
        <v>0.85</v>
      </c>
      <c r="C10" s="51">
        <f>IF(AND($F$9=1,$F$11=1,$F$4=1),1,0)</f>
        <v>0</v>
      </c>
      <c r="D10" s="51">
        <f>IF(AND($H$9=1,$H$11=1,$H$4=1),1,0)</f>
        <v>0</v>
      </c>
      <c r="E10" s="59" t="s">
        <v>738</v>
      </c>
      <c r="F10" s="55">
        <f>IF(F8=2,1,0)</f>
        <v>0</v>
      </c>
      <c r="G10" s="55"/>
      <c r="H10" s="55">
        <f>F10</f>
        <v>0</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1</v>
      </c>
      <c r="E12" s="60"/>
    </row>
    <row r="13" spans="1:60" ht="29.45" customHeight="1" x14ac:dyDescent="0.25">
      <c r="A13" s="57" t="s">
        <v>774</v>
      </c>
      <c r="B13" s="58">
        <f>0.7</f>
        <v>0.7</v>
      </c>
      <c r="C13" s="51">
        <f>IF(AND($F$10=1,$F$11=0,$F$5=1),1,0)</f>
        <v>0</v>
      </c>
      <c r="D13" s="51">
        <f>IF(AND($H$10=1,$H$11=0,$H$5=1),1,0)</f>
        <v>0</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1398</v>
      </c>
      <c r="B22" s="65" t="s">
        <v>1399</v>
      </c>
      <c r="C22" s="51" t="s">
        <v>893</v>
      </c>
      <c r="E22" s="60" t="s">
        <v>894</v>
      </c>
    </row>
    <row r="23" spans="1:5" ht="27.95" customHeight="1" x14ac:dyDescent="0.25">
      <c r="A23" s="57" t="s">
        <v>1400</v>
      </c>
      <c r="B23" s="58">
        <f>1.13</f>
        <v>1.1299999999999999</v>
      </c>
      <c r="C23" s="51">
        <f>IF(AND(списки!D34=0,'Ввод исходных данных'!D17&gt;4),1,0)</f>
        <v>1</v>
      </c>
      <c r="E23" s="60">
        <f>IF(AND(списки!D32=0,списки!D34=0,'Ввод исходных данных'!D17&gt;4),1,0)</f>
        <v>1</v>
      </c>
    </row>
    <row r="24" spans="1:5" ht="27.95" customHeight="1" x14ac:dyDescent="0.25">
      <c r="A24" s="57" t="s">
        <v>1401</v>
      </c>
      <c r="B24" s="58">
        <f>1.11</f>
        <v>1.1100000000000001</v>
      </c>
      <c r="C24" s="51">
        <f>IF(AND(списки!D34=0,'Ввод исходных данных'!D19&gt;=9,'Ввод исходных данных'!D17=1),1,0)</f>
        <v>0</v>
      </c>
      <c r="E24" s="60"/>
    </row>
    <row r="25" spans="1:5" ht="27.95" customHeight="1" x14ac:dyDescent="0.25">
      <c r="A25" s="57" t="s">
        <v>1544</v>
      </c>
      <c r="B25" s="58">
        <v>1.0900000000000001</v>
      </c>
      <c r="C25" s="51">
        <f>IF(AND(списки!D34=0,'Ввод исходных данных'!D19&lt;9,'Ввод исходных данных'!D17&lt;=4),1,0)</f>
        <v>0</v>
      </c>
      <c r="E25" s="60"/>
    </row>
    <row r="26" spans="1:5" ht="27.95" customHeight="1" x14ac:dyDescent="0.25">
      <c r="A26" s="57" t="s">
        <v>1545</v>
      </c>
      <c r="B26" s="58">
        <f>1.07</f>
        <v>1.07</v>
      </c>
      <c r="C26" s="51">
        <f>IF(списки!D34=1,1,0)</f>
        <v>0</v>
      </c>
      <c r="E26" s="60"/>
    </row>
    <row r="27" spans="1:5" ht="27.95" customHeight="1" x14ac:dyDescent="0.25">
      <c r="A27" s="57" t="s">
        <v>1546</v>
      </c>
      <c r="B27" s="58">
        <f>1.05</f>
        <v>1.05</v>
      </c>
      <c r="E27" s="60"/>
    </row>
    <row r="28" spans="1:5" x14ac:dyDescent="0.25">
      <c r="B28" s="51">
        <v>1.0900000000000001</v>
      </c>
      <c r="C28" s="51">
        <f>IF(SUM(C23:C27)=0,1,0)</f>
        <v>0</v>
      </c>
      <c r="E28" s="60"/>
    </row>
    <row r="29" spans="1:5" x14ac:dyDescent="0.25">
      <c r="E29" s="60"/>
    </row>
    <row r="30" spans="1:5" x14ac:dyDescent="0.25">
      <c r="B30" s="1141">
        <v>1</v>
      </c>
      <c r="C30" s="51">
        <v>8</v>
      </c>
      <c r="E30" s="60"/>
    </row>
    <row r="31" spans="1:5" x14ac:dyDescent="0.25">
      <c r="A31" s="51" t="s">
        <v>1908</v>
      </c>
      <c r="B31" s="51">
        <f>IF(B30=3,1,0)</f>
        <v>0</v>
      </c>
      <c r="E31" s="60"/>
    </row>
    <row r="32" spans="1:5" x14ac:dyDescent="0.25">
      <c r="A32" s="51" t="s">
        <v>1909</v>
      </c>
      <c r="B32" s="51">
        <f>IF(B30=1,1,0)</f>
        <v>1</v>
      </c>
      <c r="E32" s="60"/>
    </row>
    <row r="33" spans="1:5" x14ac:dyDescent="0.25">
      <c r="A33" s="51" t="s">
        <v>1910</v>
      </c>
      <c r="B33" s="51">
        <f>IF(B30=2,1,0)</f>
        <v>0</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55"/>
      <c r="B1" s="2455"/>
      <c r="C1" s="2455"/>
      <c r="D1" s="2455"/>
      <c r="E1" s="2455"/>
      <c r="F1" s="2455"/>
      <c r="G1" s="2455"/>
      <c r="H1" s="2455"/>
      <c r="I1" s="2455"/>
      <c r="J1" s="2455"/>
      <c r="K1" s="2455"/>
      <c r="L1" s="2455"/>
      <c r="M1" s="2455"/>
      <c r="N1" s="2455"/>
      <c r="O1" s="2455"/>
      <c r="P1" s="2455"/>
      <c r="Q1" s="2455"/>
      <c r="R1" s="2455"/>
      <c r="S1" s="2455"/>
      <c r="T1" s="2455"/>
      <c r="U1" s="2455"/>
      <c r="V1" s="2455"/>
      <c r="W1" s="2455"/>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1304</v>
      </c>
      <c r="F4" s="51" t="s">
        <v>1831</v>
      </c>
      <c r="J4" s="51" t="s">
        <v>1304</v>
      </c>
    </row>
    <row r="5" spans="1:61" x14ac:dyDescent="0.25">
      <c r="A5" s="71"/>
      <c r="B5" s="72" t="s">
        <v>970</v>
      </c>
      <c r="C5" s="71">
        <v>0.15</v>
      </c>
      <c r="D5" s="51">
        <v>11</v>
      </c>
      <c r="I5" s="51" t="s">
        <v>1833</v>
      </c>
      <c r="J5" s="51">
        <v>45</v>
      </c>
    </row>
    <row r="6" spans="1:61" x14ac:dyDescent="0.25">
      <c r="A6" s="71"/>
      <c r="B6" s="72" t="s">
        <v>1778</v>
      </c>
      <c r="C6" s="71">
        <v>0.22</v>
      </c>
      <c r="D6" s="51">
        <v>50</v>
      </c>
      <c r="F6" s="73">
        <f>$D$5/D6</f>
        <v>0.22</v>
      </c>
      <c r="I6" s="51" t="s">
        <v>1834</v>
      </c>
      <c r="J6" s="51">
        <f>5900/125</f>
        <v>47.2</v>
      </c>
    </row>
    <row r="7" spans="1:61" x14ac:dyDescent="0.25">
      <c r="A7" s="71"/>
      <c r="B7" s="72" t="s">
        <v>971</v>
      </c>
      <c r="C7" s="71">
        <v>0.22</v>
      </c>
      <c r="D7" s="51">
        <v>53.3</v>
      </c>
      <c r="F7" s="73">
        <f>$D$5/D7</f>
        <v>0.20637898686679176</v>
      </c>
      <c r="I7" s="51" t="s">
        <v>1832</v>
      </c>
      <c r="J7" s="51">
        <v>52</v>
      </c>
    </row>
    <row r="8" spans="1:61" x14ac:dyDescent="0.25">
      <c r="A8" s="71"/>
      <c r="B8" s="72" t="s">
        <v>972</v>
      </c>
      <c r="C8" s="74">
        <v>0.57999999999999996</v>
      </c>
      <c r="D8" s="51">
        <v>78</v>
      </c>
      <c r="F8" s="73">
        <f>$D$5/D8</f>
        <v>0.14102564102564102</v>
      </c>
      <c r="I8" s="51" t="s">
        <v>1835</v>
      </c>
      <c r="J8" s="51">
        <f>23500/400</f>
        <v>58.75</v>
      </c>
    </row>
    <row r="9" spans="1:61" ht="32.25" customHeight="1" x14ac:dyDescent="0.25">
      <c r="A9" s="71"/>
      <c r="B9" s="72" t="s">
        <v>461</v>
      </c>
      <c r="C9" s="71">
        <v>0.15</v>
      </c>
      <c r="D9" s="51">
        <v>11</v>
      </c>
      <c r="F9" s="73">
        <v>1</v>
      </c>
      <c r="I9" s="51" t="s">
        <v>1836</v>
      </c>
      <c r="J9" s="51">
        <v>58</v>
      </c>
    </row>
    <row r="10" spans="1:61" ht="24.75" customHeight="1" x14ac:dyDescent="0.25">
      <c r="A10" s="71"/>
      <c r="B10" s="72" t="s">
        <v>973</v>
      </c>
      <c r="C10" s="71"/>
      <c r="D10" s="51">
        <v>16</v>
      </c>
      <c r="E10" s="51" t="s">
        <v>1305</v>
      </c>
      <c r="F10" s="73">
        <f>$D$5/D10</f>
        <v>0.6875</v>
      </c>
      <c r="I10" s="51" t="s">
        <v>1837</v>
      </c>
      <c r="J10" s="51">
        <f>40600/700</f>
        <v>58</v>
      </c>
    </row>
    <row r="11" spans="1:61" x14ac:dyDescent="0.25">
      <c r="A11" s="71"/>
      <c r="B11" s="71" t="s">
        <v>2448</v>
      </c>
      <c r="C11" s="71"/>
      <c r="I11" s="51" t="s">
        <v>1838</v>
      </c>
      <c r="J11" s="51">
        <v>58</v>
      </c>
    </row>
    <row r="12" spans="1:61" x14ac:dyDescent="0.25">
      <c r="A12" s="75"/>
      <c r="B12" s="71" t="s">
        <v>2447</v>
      </c>
      <c r="C12" s="71"/>
      <c r="I12" s="51" t="s">
        <v>2447</v>
      </c>
      <c r="J12" s="51">
        <v>100</v>
      </c>
      <c r="K12" s="51">
        <f>52/J12</f>
        <v>0.52</v>
      </c>
    </row>
    <row r="13" spans="1:61" ht="28.5" customHeight="1" x14ac:dyDescent="0.25">
      <c r="I13" s="72" t="s">
        <v>972</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1434</v>
      </c>
      <c r="D17" s="76"/>
      <c r="E17" s="76"/>
    </row>
    <row r="18" spans="1:6" ht="13.5" customHeight="1" x14ac:dyDescent="0.25">
      <c r="A18" s="77" t="s">
        <v>968</v>
      </c>
      <c r="B18" s="78">
        <f>'Ввод исходных данных'!D151*'Ввод исходных данных'!F151*списки!C65/1000</f>
        <v>1314</v>
      </c>
      <c r="C18" s="76"/>
      <c r="D18" s="76"/>
      <c r="E18" s="76"/>
    </row>
    <row r="19" spans="1:6" ht="13.5" customHeight="1" x14ac:dyDescent="0.25">
      <c r="A19" s="77" t="s">
        <v>975</v>
      </c>
      <c r="B19" s="78">
        <f>'Ввод исходных данных'!D152*'Ввод исходных данных'!F152*списки!C66/1000</f>
        <v>1080</v>
      </c>
      <c r="C19" s="76"/>
      <c r="D19" s="76"/>
      <c r="E19" s="76"/>
    </row>
    <row r="20" spans="1:6" ht="13.5" customHeight="1" x14ac:dyDescent="0.25">
      <c r="A20" s="77" t="s">
        <v>976</v>
      </c>
      <c r="B20" s="78">
        <f>'Ввод исходных данных'!D153*'Ввод исходных данных'!F153*списки!C67/1000</f>
        <v>0</v>
      </c>
      <c r="C20" s="76"/>
      <c r="D20" s="76"/>
      <c r="E20" s="76"/>
      <c r="F20" s="76"/>
    </row>
    <row r="21" spans="1:6" ht="13.5" customHeight="1" x14ac:dyDescent="0.25">
      <c r="A21" s="77" t="s">
        <v>1408</v>
      </c>
      <c r="B21" s="79">
        <f>'Ввод исходных данных'!D154*'Ввод исходных данных'!F154*списки!C68/1000</f>
        <v>0</v>
      </c>
      <c r="C21" s="76"/>
      <c r="D21" s="76"/>
      <c r="E21" s="76"/>
      <c r="F21" s="76"/>
    </row>
    <row r="22" spans="1:6" ht="13.5" customHeight="1" x14ac:dyDescent="0.25">
      <c r="A22" s="77" t="s">
        <v>1409</v>
      </c>
      <c r="B22" s="79">
        <f>'Ввод исходных данных'!D155*'Ввод исходных данных'!F155*списки!C69/1000</f>
        <v>0</v>
      </c>
      <c r="C22" s="76"/>
      <c r="D22" s="76"/>
      <c r="E22" s="76"/>
      <c r="F22" s="76"/>
    </row>
    <row r="23" spans="1:6" ht="16.5" customHeight="1" x14ac:dyDescent="0.25">
      <c r="A23" s="77" t="s">
        <v>2071</v>
      </c>
      <c r="B23" s="79">
        <f>'Ввод исходных данных'!D156*'Ввод исходных данных'!F156*списки!C70/1000</f>
        <v>0</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66" t="s">
        <v>818</v>
      </c>
    </row>
    <row r="28" spans="1:6" x14ac:dyDescent="0.25">
      <c r="A28" s="88" t="s">
        <v>825</v>
      </c>
      <c r="B28" s="92">
        <f>6.5</f>
        <v>6.5</v>
      </c>
      <c r="C28" s="2567" t="s">
        <v>826</v>
      </c>
      <c r="D28" s="93"/>
      <c r="E28" s="2566"/>
    </row>
    <row r="29" spans="1:6" x14ac:dyDescent="0.25">
      <c r="A29" s="88" t="s">
        <v>827</v>
      </c>
      <c r="B29" s="92">
        <f>25.2</f>
        <v>25.2</v>
      </c>
      <c r="C29" s="2567"/>
      <c r="D29" s="93"/>
      <c r="E29" s="2566"/>
    </row>
    <row r="30" spans="1:6" ht="25.5" customHeight="1" x14ac:dyDescent="0.25">
      <c r="A30" s="94" t="s">
        <v>828</v>
      </c>
      <c r="B30" s="96">
        <f>11</f>
        <v>11</v>
      </c>
      <c r="C30" s="2568"/>
      <c r="D30" s="97"/>
      <c r="E30" s="2566"/>
    </row>
    <row r="31" spans="1:6" ht="48" x14ac:dyDescent="0.25">
      <c r="A31" s="95" t="s">
        <v>966</v>
      </c>
      <c r="B31" s="95"/>
      <c r="C31" s="95"/>
      <c r="D31" s="95"/>
      <c r="E31" s="70"/>
    </row>
    <row r="32" spans="1:6" x14ac:dyDescent="0.25">
      <c r="A32" s="66" t="s">
        <v>860</v>
      </c>
      <c r="B32" s="67"/>
      <c r="C32" s="68" t="s">
        <v>893</v>
      </c>
      <c r="D32" s="69" t="s">
        <v>894</v>
      </c>
      <c r="E32" s="70"/>
    </row>
    <row r="33" spans="1:23" x14ac:dyDescent="0.25">
      <c r="A33" s="66"/>
      <c r="B33" s="67" t="s">
        <v>1520</v>
      </c>
      <c r="C33" s="98">
        <f>('Расчет базового уровня'!F146+'Расчет базового уровня'!F153-'Расчет базового уровня'!F150)*'Расчет базового уровня'!D160</f>
        <v>325.92732728092545</v>
      </c>
      <c r="D33" s="99">
        <f>('Расчет после реализации'!F146+'Расчет после реализации'!F153-'Расчет после реализации'!F150)*'Расчет после реализации'!D160</f>
        <v>325.92732728092545</v>
      </c>
      <c r="E33" s="51" t="s">
        <v>1524</v>
      </c>
    </row>
    <row r="34" spans="1:23" x14ac:dyDescent="0.25">
      <c r="A34" s="66"/>
      <c r="B34" s="67" t="s">
        <v>1522</v>
      </c>
      <c r="C34" s="100">
        <f>3.6*C33/('Ввод исходных данных'!$D$197-'Ввод исходных данных'!$D$198)/4.2</f>
        <v>11.174651221060302</v>
      </c>
      <c r="D34" s="100">
        <f>3.6*D33/('Ввод исходных данных'!$D$197-'Ввод исходных данных'!$D$198)/4.2</f>
        <v>11.174651221060302</v>
      </c>
      <c r="E34" s="69" t="s">
        <v>879</v>
      </c>
    </row>
    <row r="35" spans="1:23" x14ac:dyDescent="0.25">
      <c r="A35" s="53" t="s">
        <v>861</v>
      </c>
      <c r="B35" s="67" t="s">
        <v>1523</v>
      </c>
      <c r="C35" s="101">
        <f ca="1">C34*$C$42*0.00272/$C$43*(24*'Ввод исходных данных'!D209)</f>
        <v>1481.889016418259</v>
      </c>
      <c r="D35" s="101">
        <f ca="1">D34*$C$42*0.00272/$C$43*(24*'Ввод исходных данных'!D209)</f>
        <v>1481.889016418259</v>
      </c>
      <c r="E35" s="69" t="s">
        <v>496</v>
      </c>
    </row>
    <row r="36" spans="1:23" x14ac:dyDescent="0.25">
      <c r="A36" s="102" t="s">
        <v>864</v>
      </c>
      <c r="B36" s="103" t="s">
        <v>914</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1344</v>
      </c>
      <c r="B40" s="110" t="s">
        <v>494</v>
      </c>
      <c r="C40" s="119">
        <f>'Расчет базового уровня'!C35/('Ввод исходных данных'!D197-'Ввод исходных данных'!D198)/4.2*3.6</f>
        <v>30085.7918858474</v>
      </c>
      <c r="D40" s="112" t="s">
        <v>871</v>
      </c>
      <c r="E40" s="117">
        <f ca="1">'Расчет базового уровня'!I35/('Ввод исходных данных'!$D$197-'Ввод исходных данных'!$D$198)/4.2*3.6</f>
        <v>5748.9418546243887</v>
      </c>
      <c r="F40" s="117">
        <f ca="1">'Расчет базового уровня'!L35/('Ввод исходных данных'!$D$197-'Ввод исходных данных'!$D$198)/4.2*3.6</f>
        <v>4916.6720741282415</v>
      </c>
      <c r="G40" s="117">
        <f ca="1">'Расчет базового уровня'!O35/('Ввод исходных данных'!$D$197-'Ввод исходных данных'!$D$198)/4.2*3.6</f>
        <v>3954.226369442034</v>
      </c>
      <c r="H40" s="117">
        <f ca="1">'Расчет базового уровня'!R35/('Ввод исходных данных'!$D$197-'Ввод исходных данных'!$D$198)/4.2*3.6</f>
        <v>2348.5247760428574</v>
      </c>
      <c r="I40" s="117">
        <f ca="1">'Расчет базового уровня'!U35/('Ввод исходных данных'!$D$197-'Ввод исходных данных'!$D$198)/4.2*3.6</f>
        <v>72.912479272060637</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 ca="1">'Расчет базового уровня'!AG35/('Ввод исходных данных'!$D$197-'Ввод исходных данных'!$D$198)/4.2*3.6</f>
        <v>140.2872810334415</v>
      </c>
      <c r="N40" s="117">
        <f ca="1">'Расчет базового уровня'!AJ35/('Ввод исходных данных'!$D$197-'Ввод исходных данных'!$D$198)/4.2*3.6</f>
        <v>2655.921550373947</v>
      </c>
      <c r="O40" s="117">
        <f ca="1">'Расчет базового уровня'!AM35/('Ввод исходных данных'!$D$197-'Ввод исходных данных'!$D$198)/4.2*3.6</f>
        <v>4029.9157419137664</v>
      </c>
      <c r="P40" s="117">
        <f ca="1">'Расчет базового уровня'!AP35/('Ввод исходных данных'!$D$197-'Ввод исходных данных'!$D$198)/4.2*3.6</f>
        <v>5252.531188510121</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29223.160212132563</v>
      </c>
      <c r="D41" s="123"/>
      <c r="E41" s="120">
        <f ca="1">'Расчет после реализации'!J35/('Ввод исходных данных'!$D$197-'Ввод исходных данных'!$D$198)/4.2*3.6</f>
        <v>5233.4384705826487</v>
      </c>
      <c r="F41" s="120">
        <f ca="1">'Расчет после реализации'!L35/('Ввод исходных данных'!$D$197-'Ввод исходных данных'!$D$198)/4.2*3.6</f>
        <v>4847.691931938667</v>
      </c>
      <c r="G41" s="120">
        <f ca="1">'Расчет после реализации'!N35/('Ввод исходных данных'!$D$197-'Ввод исходных данных'!$D$198)/4.2*3.6</f>
        <v>4794.3059582507958</v>
      </c>
      <c r="H41" s="120">
        <f ca="1">'Расчет после реализации'!P35/('Ввод исходных данных'!$D$197-'Ввод исходных данных'!$D$198)/4.2*3.6</f>
        <v>2514.81619024987</v>
      </c>
      <c r="I41" s="120">
        <f ca="1">'Расчет после реализации'!R35/('Ввод исходных данных'!$D$197-'Ввод исходных данных'!$D$198)/4.2*3.6</f>
        <v>604.74888457106181</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584.30258516048286</v>
      </c>
      <c r="N41" s="120">
        <f ca="1">'Расчет после реализации'!AB35/('Ввод исходных данных'!$D$197-'Ввод исходных данных'!$D$198)/4.2*3.6</f>
        <v>2541.3652428091164</v>
      </c>
      <c r="O41" s="120">
        <f ca="1">'Расчет после реализации'!AD35/('Ввод исходных данных'!$D$197-'Ввод исходных данных'!$D$198)/4.2*3.6</f>
        <v>3235.4123184802597</v>
      </c>
      <c r="P41" s="120">
        <f ca="1">'Расчет после реализации'!AF35/('Ввод исходных данных'!$D$197-'Ввод исходных данных'!$D$198)/4.2*3.6</f>
        <v>4507.9151893387198</v>
      </c>
    </row>
    <row r="42" spans="1:23" ht="38.25" customHeight="1" x14ac:dyDescent="0.25">
      <c r="A42" s="124" t="s">
        <v>873</v>
      </c>
      <c r="B42" s="110" t="s">
        <v>915</v>
      </c>
      <c r="C42" s="111">
        <v>6</v>
      </c>
      <c r="D42" s="112" t="s">
        <v>916</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1526</v>
      </c>
      <c r="B45" s="110" t="s">
        <v>877</v>
      </c>
      <c r="C45" s="115">
        <f>$C$42*0.00272/$C$43</f>
        <v>2.3314285714285718E-2</v>
      </c>
      <c r="D45" s="127"/>
      <c r="E45" s="75"/>
      <c r="F45" s="75"/>
    </row>
    <row r="46" spans="1:23" x14ac:dyDescent="0.25">
      <c r="A46" s="134" t="s">
        <v>1344</v>
      </c>
      <c r="B46" s="110" t="s">
        <v>837</v>
      </c>
      <c r="C46" s="133">
        <f>0.00272*C40*10/$C$43</f>
        <v>1169.047913278642</v>
      </c>
      <c r="D46" s="135"/>
      <c r="E46" s="133">
        <f t="shared" ref="E46:P46" ca="1" si="0">0.00272*E40*10/$C$43</f>
        <v>223.38745492254768</v>
      </c>
      <c r="F46" s="133">
        <f t="shared" ca="1" si="0"/>
        <v>191.04782916612601</v>
      </c>
      <c r="G46" s="133">
        <f t="shared" ca="1" si="0"/>
        <v>153.64993892689048</v>
      </c>
      <c r="H46" s="133">
        <f t="shared" ca="1" si="0"/>
        <v>91.25696272623675</v>
      </c>
      <c r="I46" s="133">
        <f t="shared" ca="1" si="0"/>
        <v>2.8331706231429279</v>
      </c>
      <c r="J46" s="133">
        <f t="shared" si="0"/>
        <v>0</v>
      </c>
      <c r="K46" s="133">
        <f t="shared" si="0"/>
        <v>0</v>
      </c>
      <c r="L46" s="133">
        <f t="shared" si="0"/>
        <v>0</v>
      </c>
      <c r="M46" s="133">
        <f t="shared" ca="1" si="0"/>
        <v>5.4511629201565848</v>
      </c>
      <c r="N46" s="133">
        <f t="shared" ca="1" si="0"/>
        <v>103.20152310024481</v>
      </c>
      <c r="O46" s="133">
        <f t="shared" ca="1" si="0"/>
        <v>156.5910116857921</v>
      </c>
      <c r="P46" s="133">
        <f t="shared" ca="1" si="0"/>
        <v>204.09835475353614</v>
      </c>
    </row>
    <row r="47" spans="1:23" ht="25.5" x14ac:dyDescent="0.25">
      <c r="A47" s="132" t="s">
        <v>1527</v>
      </c>
      <c r="B47" s="110"/>
      <c r="C47" s="133">
        <f ca="1">0.00272*C41*10/$C$43</f>
        <v>1135.5285111000082</v>
      </c>
      <c r="D47" s="135"/>
      <c r="E47" s="133">
        <f t="shared" ref="E47:P47" ca="1" si="1">0.00272*E41*10/$C$43</f>
        <v>203.35646628549725</v>
      </c>
      <c r="F47" s="133">
        <f t="shared" ca="1" si="1"/>
        <v>188.36745792675964</v>
      </c>
      <c r="G47" s="133">
        <f t="shared" ca="1" si="1"/>
        <v>186.2930315206024</v>
      </c>
      <c r="H47" s="133">
        <f t="shared" ca="1" si="1"/>
        <v>97.718571963994975</v>
      </c>
      <c r="I47" s="133">
        <f t="shared" ca="1" si="1"/>
        <v>23.498813800475553</v>
      </c>
      <c r="J47" s="133">
        <f t="shared" ca="1" si="1"/>
        <v>0</v>
      </c>
      <c r="K47" s="133">
        <f t="shared" ca="1" si="1"/>
        <v>0</v>
      </c>
      <c r="L47" s="133">
        <f t="shared" ca="1" si="1"/>
        <v>0</v>
      </c>
      <c r="M47" s="133">
        <f t="shared" ca="1" si="1"/>
        <v>22.704329023378765</v>
      </c>
      <c r="N47" s="133">
        <f t="shared" ca="1" si="1"/>
        <v>98.750192292011405</v>
      </c>
      <c r="O47" s="133">
        <f t="shared" ca="1" si="1"/>
        <v>125.71887866094725</v>
      </c>
      <c r="P47" s="133">
        <f t="shared" ca="1" si="1"/>
        <v>175.16470450001884</v>
      </c>
      <c r="Q47" s="75"/>
    </row>
    <row r="48" spans="1:23" x14ac:dyDescent="0.25">
      <c r="A48" s="134" t="s">
        <v>1344</v>
      </c>
      <c r="B48" s="110" t="s">
        <v>837</v>
      </c>
      <c r="C48" s="136">
        <f ca="1">C34*6*0.00272/$C$43*(24*'Ввод исходных данных'!D209)</f>
        <v>1481.889016418259</v>
      </c>
      <c r="D48" s="137"/>
      <c r="E48" s="136">
        <f ca="1">$C$34*$C$42*0.00272/$C$43*(24*'Расчет после реализации'!G148)</f>
        <v>193.83358442601698</v>
      </c>
      <c r="F48" s="136">
        <f ca="1">$C$34*$C$42*0.00272/$C$43*(24*'Расчет после реализации'!H148)</f>
        <v>175.07549561059599</v>
      </c>
      <c r="G48" s="136">
        <f ca="1">$C$34*$C$42*0.00272/$C$43*(24*'Расчет после реализации'!I148)</f>
        <v>193.83358442601698</v>
      </c>
      <c r="H48" s="136">
        <f ca="1">$C$34*$C$42*0.00272/$C$43*(24*'Расчет после реализации'!J148)</f>
        <v>187.58088815420999</v>
      </c>
      <c r="I48" s="136">
        <f ca="1">$C$34*$C$42*0.00272/$C$43*(24*'Расчет после реализации'!K148)</f>
        <v>81.285051533491</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75.032355261684003</v>
      </c>
      <c r="N48" s="136">
        <f ca="1">$C$34*$C$42*0.00272/$C$43*(24*'Расчет после реализации'!P148)</f>
        <v>193.83358442601698</v>
      </c>
      <c r="O48" s="136">
        <f ca="1">$C$34*$C$42*0.00272/$C$43*(24*'Расчет после реализации'!Q148)</f>
        <v>187.58088815420999</v>
      </c>
      <c r="P48" s="136">
        <f ca="1">$C$34*$C$42*0.00272/$C$43*(24*'Расчет после реализации'!R148)</f>
        <v>193.83358442601698</v>
      </c>
      <c r="Q48" s="75"/>
    </row>
    <row r="49" spans="1:17" x14ac:dyDescent="0.25">
      <c r="A49" s="134" t="s">
        <v>1528</v>
      </c>
      <c r="B49" s="139"/>
      <c r="C49" s="140">
        <f ca="1">D34*$C$42*0.00272/$C$43*(24*'Ввод исходных данных'!D209)</f>
        <v>1481.889016418259</v>
      </c>
      <c r="D49" s="141"/>
      <c r="E49" s="138">
        <f ca="1">$D$34*$C$42*0.00272/$C$43*(24*'Расчет после реализации'!G148)</f>
        <v>193.83358442601698</v>
      </c>
      <c r="F49" s="138">
        <f ca="1">$D$34*$C$42*0.00272/$C$43*(24*'Расчет после реализации'!H148)</f>
        <v>175.07549561059599</v>
      </c>
      <c r="G49" s="138">
        <f ca="1">$D$34*$C$42*0.00272/$C$43*(24*'Расчет после реализации'!I148)</f>
        <v>193.83358442601698</v>
      </c>
      <c r="H49" s="138">
        <f ca="1">$D$34*$C$42*0.00272/$C$43*(24*'Расчет после реализации'!J148)</f>
        <v>187.58088815420999</v>
      </c>
      <c r="I49" s="138">
        <f ca="1">$D$34*$C$42*0.00272/$C$43*(24*'Расчет после реализации'!K148)</f>
        <v>81.285051533491</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75.032355261684003</v>
      </c>
      <c r="N49" s="138">
        <f ca="1">$D$34*$C$42*0.00272/$C$43*(24*'Расчет после реализации'!P148)</f>
        <v>193.83358442601698</v>
      </c>
      <c r="O49" s="138">
        <f ca="1">$D$34*$C$42*0.00272/$C$43*(24*'Расчет после реализации'!Q148)</f>
        <v>187.58088815420999</v>
      </c>
      <c r="P49" s="138">
        <f ca="1">$D$34*$C$42*0.00272/$C$43*(24*'Расчет после реализации'!R148)</f>
        <v>193.83358442601698</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1135.5285111000082</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203.35646628549725</v>
      </c>
      <c r="F50" s="142">
        <f ca="1">IF('Список мероприятий'!$D$35=списки!$N$46,'Система электроснабжения'!F49,'Система электроснабжения'!F47)*IF('Список мероприятий'!AE46=1,0.9,1)*IF('Список мероприятий'!$AB$54=1,0.9572,1)</f>
        <v>188.36745792675964</v>
      </c>
      <c r="G50" s="142">
        <f ca="1">IF('Список мероприятий'!$D$35=списки!$N$46,'Система электроснабжения'!G49,'Система электроснабжения'!G47)*IF('Список мероприятий'!AF46=1,0.9,1)*IF('Список мероприятий'!$AB$54=1,0.9572,1)</f>
        <v>186.2930315206024</v>
      </c>
      <c r="H50" s="142">
        <f ca="1">IF('Список мероприятий'!$D$35=списки!$N$46,'Система электроснабжения'!H49,'Система электроснабжения'!H47)*IF('Список мероприятий'!AG46=1,0.9,1)*IF('Список мероприятий'!$AB$54=1,0.9572,1)</f>
        <v>97.718571963994975</v>
      </c>
      <c r="I50" s="142">
        <f ca="1">IF('Список мероприятий'!$D$35=списки!$N$46,'Система электроснабжения'!I49,'Система электроснабжения'!I47)*IF('Список мероприятий'!AH46=1,0.9,1)*IF('Список мероприятий'!$AB$54=1,0.9572,1)</f>
        <v>23.498813800475553</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22.704329023378765</v>
      </c>
      <c r="N50" s="142">
        <f ca="1">IF('Список мероприятий'!$D$35=списки!$N$46,'Система электроснабжения'!N49,'Система электроснабжения'!N47)*IF('Список мероприятий'!AM46=1,0.9,1)*IF('Список мероприятий'!$AB$54=1,0.9572,1)</f>
        <v>98.750192292011405</v>
      </c>
      <c r="O50" s="142">
        <f ca="1">IF('Список мероприятий'!$D$35=списки!$N$46,'Система электроснабжения'!O49,'Система электроснабжения'!O47)*IF('Список мероприятий'!AN46=1,0.9,1)*IF('Список мероприятий'!$AB$54=1,0.9572,1)</f>
        <v>125.71887866094725</v>
      </c>
      <c r="P50" s="142">
        <f ca="1">IF('Список мероприятий'!$D$35=списки!$N$46,'Система электроснабжения'!P49,'Система электроснабжения'!P47)*IF('Список мероприятий'!AO46=1,0.9,1)*IF('Список мероприятий'!$AB$54=1,0.9572,1)</f>
        <v>175.16470450001884</v>
      </c>
    </row>
    <row r="51" spans="1:17" ht="34.5" customHeight="1" x14ac:dyDescent="0.25">
      <c r="A51" s="128" t="s">
        <v>1391</v>
      </c>
      <c r="B51" s="107"/>
      <c r="C51" s="107"/>
      <c r="D51" s="108"/>
      <c r="K51" s="70"/>
    </row>
    <row r="52" spans="1:17" s="147" customFormat="1" ht="19.5" customHeight="1" x14ac:dyDescent="0.25">
      <c r="A52" s="144" t="s">
        <v>1309</v>
      </c>
      <c r="B52" s="145" t="s">
        <v>879</v>
      </c>
      <c r="C52" s="143">
        <f>'Расчет базового уровня'!D173*'Система электроснабжения'!$C$54</f>
        <v>5.1120382481046178</v>
      </c>
      <c r="D52" s="71"/>
      <c r="E52" s="143">
        <f>E55*'Система электроснабжения'!$C$54</f>
        <v>5.1120382481046178</v>
      </c>
      <c r="F52" s="143">
        <f>F55*'Система электроснабжения'!$C$54</f>
        <v>5.1120382481046178</v>
      </c>
      <c r="G52" s="143">
        <f>G55*'Система электроснабжения'!$C$54</f>
        <v>5.1120382481046178</v>
      </c>
      <c r="H52" s="143">
        <f>H55*'Система электроснабжения'!$C$54</f>
        <v>5.1120382481046178</v>
      </c>
      <c r="I52" s="143">
        <f>I55*'Система электроснабжения'!$C$54</f>
        <v>4.6008344232941569</v>
      </c>
      <c r="J52" s="143">
        <f>J55*'Система электроснабжения'!$C$54</f>
        <v>4.6008344232941569</v>
      </c>
      <c r="K52" s="143">
        <f>K55*'Система электроснабжения'!$C$54</f>
        <v>4.6008344232941569</v>
      </c>
      <c r="L52" s="143">
        <f>L55*'Система электроснабжения'!$C$54</f>
        <v>4.6008344232941569</v>
      </c>
      <c r="M52" s="143">
        <f>M55*'Система электроснабжения'!$C$54</f>
        <v>4.6008344232941569</v>
      </c>
      <c r="N52" s="143">
        <f>N55*'Система электроснабжения'!$C$54</f>
        <v>5.1120382481046178</v>
      </c>
      <c r="O52" s="143">
        <f>O55*'Система электроснабжения'!$C$54</f>
        <v>5.1120382481046178</v>
      </c>
      <c r="P52" s="143">
        <f>P55*'Система электроснабжения'!$C$54</f>
        <v>5.1120382481046178</v>
      </c>
    </row>
    <row r="53" spans="1:17" ht="30.75" customHeight="1" x14ac:dyDescent="0.25">
      <c r="A53" s="148" t="s">
        <v>887</v>
      </c>
      <c r="B53" s="149"/>
      <c r="C53" s="150">
        <f ca="1">C56*'Система электроснабжения'!C54</f>
        <v>5.0940222542786993</v>
      </c>
      <c r="D53" s="151"/>
      <c r="E53" s="146">
        <f>E56*'Система электроснабжения'!$C$54</f>
        <v>5.1120382481046178</v>
      </c>
      <c r="F53" s="146">
        <f>F56*'Система электроснабжения'!$C$54</f>
        <v>5.1120382481046178</v>
      </c>
      <c r="G53" s="146">
        <f>G56*'Система электроснабжения'!$C$54</f>
        <v>5.1120382481046178</v>
      </c>
      <c r="H53" s="146">
        <f>H56*'Система электроснабжения'!$C$54</f>
        <v>5.1120382481046178</v>
      </c>
      <c r="I53" s="146">
        <f>I56*'Система электроснабжения'!$C$54</f>
        <v>4.6008344232941569</v>
      </c>
      <c r="J53" s="146">
        <f>J56*'Система электроснабжения'!$C$54</f>
        <v>4.6008344232941569</v>
      </c>
      <c r="K53" s="146">
        <f>K56*'Система электроснабжения'!$C$54</f>
        <v>4.6008344232941569</v>
      </c>
      <c r="L53" s="146">
        <f>L56*'Система электроснабжения'!$C$54</f>
        <v>4.6008344232941569</v>
      </c>
      <c r="M53" s="146">
        <f>M56*'Система электроснабжения'!$C$54</f>
        <v>4.6008344232941569</v>
      </c>
      <c r="N53" s="146">
        <f>N56*'Система электроснабжения'!$C$54</f>
        <v>5.1120382481046178</v>
      </c>
      <c r="O53" s="146">
        <f>O56*'Система электроснабжения'!$C$54</f>
        <v>5.1120382481046178</v>
      </c>
      <c r="P53" s="146">
        <f>P56*'Система электроснабжения'!$C$54</f>
        <v>5.1120382481046178</v>
      </c>
    </row>
    <row r="54" spans="1:17" ht="30.75" customHeight="1" x14ac:dyDescent="0.25">
      <c r="A54" s="148"/>
      <c r="B54" s="145"/>
      <c r="C54" s="154">
        <f>11.96*('Ввод исходных данных'!$D$22^(-0.181))</f>
        <v>4.4154190319173869</v>
      </c>
      <c r="D54" s="71"/>
      <c r="E54" s="153"/>
      <c r="F54" s="153"/>
      <c r="K54" s="152"/>
      <c r="L54" s="153"/>
      <c r="M54" s="153"/>
      <c r="N54" s="153"/>
      <c r="O54" s="153"/>
      <c r="P54" s="153"/>
    </row>
    <row r="55" spans="1:17" s="147" customFormat="1" ht="16.5" customHeight="1" x14ac:dyDescent="0.25">
      <c r="A55" s="156" t="s">
        <v>1392</v>
      </c>
      <c r="B55" s="145"/>
      <c r="C55" s="154"/>
      <c r="D55" s="71"/>
      <c r="E55" s="155">
        <f>'Расчет базового уровня'!G173</f>
        <v>1.1577696728558797</v>
      </c>
      <c r="F55" s="155">
        <f>'Расчет базового уровня'!H173</f>
        <v>1.1577696728558797</v>
      </c>
      <c r="G55" s="155">
        <f>'Расчет базового уровня'!I173</f>
        <v>1.1577696728558797</v>
      </c>
      <c r="H55" s="155">
        <f>'Расчет базового уровня'!J173</f>
        <v>1.1577696728558797</v>
      </c>
      <c r="I55" s="155">
        <f>'Расчет базового уровня'!K173</f>
        <v>1.0419927055702918</v>
      </c>
      <c r="J55" s="155">
        <f>'Расчет базового уровня'!L173</f>
        <v>1.0419927055702918</v>
      </c>
      <c r="K55" s="155">
        <f>'Расчет базового уровня'!M173</f>
        <v>1.0419927055702918</v>
      </c>
      <c r="L55" s="155">
        <f>'Расчет базового уровня'!N173</f>
        <v>1.0419927055702918</v>
      </c>
      <c r="M55" s="155">
        <f>'Расчет базового уровня'!O173</f>
        <v>1.0419927055702918</v>
      </c>
      <c r="N55" s="155">
        <f>'Расчет базового уровня'!P173</f>
        <v>1.1577696728558797</v>
      </c>
      <c r="O55" s="155">
        <f>'Расчет базового уровня'!Q173</f>
        <v>1.1577696728558797</v>
      </c>
      <c r="P55" s="155">
        <f>'Расчет базового уровня'!R173</f>
        <v>1.1577696728558797</v>
      </c>
    </row>
    <row r="56" spans="1:17" ht="24" customHeight="1" x14ac:dyDescent="0.25">
      <c r="A56" s="124" t="s">
        <v>880</v>
      </c>
      <c r="B56" s="149"/>
      <c r="C56" s="158">
        <f ca="1">'Расчет после реализации'!D171</f>
        <v>1.1536894273127754</v>
      </c>
      <c r="D56" s="151"/>
      <c r="E56" s="157">
        <f>'Расчет после реализации'!G171</f>
        <v>1.1577696728558797</v>
      </c>
      <c r="F56" s="157">
        <f>'Расчет после реализации'!H171</f>
        <v>1.1577696728558797</v>
      </c>
      <c r="G56" s="157">
        <f>'Расчет после реализации'!I171</f>
        <v>1.1577696728558797</v>
      </c>
      <c r="H56" s="157">
        <f>'Расчет после реализации'!J171</f>
        <v>1.1577696728558797</v>
      </c>
      <c r="I56" s="157">
        <f>'Расчет после реализации'!K171</f>
        <v>1.0419927055702918</v>
      </c>
      <c r="J56" s="157">
        <f>'Расчет после реализации'!L171</f>
        <v>1.0419927055702918</v>
      </c>
      <c r="K56" s="157">
        <f>'Расчет после реализации'!M171</f>
        <v>1.0419927055702918</v>
      </c>
      <c r="L56" s="157">
        <f>'Расчет после реализации'!N171</f>
        <v>1.0419927055702918</v>
      </c>
      <c r="M56" s="157">
        <f>'Расчет после реализации'!O171</f>
        <v>1.0419927055702918</v>
      </c>
      <c r="N56" s="157">
        <f>'Расчет после реализации'!P171</f>
        <v>1.1577696728558797</v>
      </c>
      <c r="O56" s="157">
        <f>'Расчет после реализации'!Q171</f>
        <v>1.1577696728558797</v>
      </c>
      <c r="P56" s="157">
        <f>'Расчет после реализации'!R171</f>
        <v>1.1577696728558797</v>
      </c>
    </row>
    <row r="57" spans="1:17" ht="36" x14ac:dyDescent="0.25">
      <c r="A57" s="148" t="s">
        <v>882</v>
      </c>
      <c r="B57" s="86"/>
      <c r="C57" s="159">
        <v>0.1</v>
      </c>
      <c r="D57" s="160" t="s">
        <v>881</v>
      </c>
    </row>
    <row r="58" spans="1:17" s="147" customFormat="1" x14ac:dyDescent="0.25">
      <c r="A58" s="144" t="s">
        <v>1309</v>
      </c>
      <c r="B58" s="145" t="s">
        <v>879</v>
      </c>
      <c r="C58" s="119">
        <f>C52*(1+C$57)</f>
        <v>5.6232420729150805</v>
      </c>
      <c r="D58" s="71"/>
      <c r="E58" s="119">
        <f>E52*(1+$C$57)</f>
        <v>5.6232420729150805</v>
      </c>
      <c r="F58" s="119">
        <f>F52*(1+$C$57)</f>
        <v>5.6232420729150805</v>
      </c>
      <c r="G58" s="119">
        <f t="shared" ref="G58:P58" si="2">G52*(1+$C$57)</f>
        <v>5.6232420729150805</v>
      </c>
      <c r="H58" s="119">
        <f t="shared" si="2"/>
        <v>5.6232420729150805</v>
      </c>
      <c r="I58" s="119">
        <f t="shared" si="2"/>
        <v>5.0609178656235727</v>
      </c>
      <c r="J58" s="119">
        <f t="shared" si="2"/>
        <v>5.0609178656235727</v>
      </c>
      <c r="K58" s="119">
        <f t="shared" si="2"/>
        <v>5.0609178656235727</v>
      </c>
      <c r="L58" s="119">
        <f t="shared" si="2"/>
        <v>5.0609178656235727</v>
      </c>
      <c r="M58" s="119">
        <f t="shared" si="2"/>
        <v>5.0609178656235727</v>
      </c>
      <c r="N58" s="119">
        <f t="shared" si="2"/>
        <v>5.6232420729150805</v>
      </c>
      <c r="O58" s="119">
        <f t="shared" si="2"/>
        <v>5.6232420729150805</v>
      </c>
      <c r="P58" s="119">
        <f t="shared" si="2"/>
        <v>5.6232420729150805</v>
      </c>
    </row>
    <row r="59" spans="1:17" x14ac:dyDescent="0.25">
      <c r="A59" s="121" t="s">
        <v>872</v>
      </c>
      <c r="B59" s="149"/>
      <c r="C59" s="120">
        <f ca="1">C53*(1+C$57)</f>
        <v>5.60342447970657</v>
      </c>
      <c r="D59" s="151"/>
      <c r="E59" s="120">
        <f>E53*(1+$C$57)</f>
        <v>5.6232420729150805</v>
      </c>
      <c r="F59" s="120">
        <f>F53*(1+$C$57)</f>
        <v>5.6232420729150805</v>
      </c>
      <c r="G59" s="120">
        <f t="shared" ref="G59:P59" si="3">G53*(1+$C$57)</f>
        <v>5.6232420729150805</v>
      </c>
      <c r="H59" s="120">
        <f t="shared" si="3"/>
        <v>5.6232420729150805</v>
      </c>
      <c r="I59" s="120">
        <f t="shared" si="3"/>
        <v>5.0609178656235727</v>
      </c>
      <c r="J59" s="120">
        <f t="shared" si="3"/>
        <v>5.0609178656235727</v>
      </c>
      <c r="K59" s="120">
        <f t="shared" si="3"/>
        <v>5.0609178656235727</v>
      </c>
      <c r="L59" s="120">
        <f t="shared" si="3"/>
        <v>5.0609178656235727</v>
      </c>
      <c r="M59" s="120">
        <f t="shared" si="3"/>
        <v>5.0609178656235727</v>
      </c>
      <c r="N59" s="120">
        <f t="shared" si="3"/>
        <v>5.6232420729150805</v>
      </c>
      <c r="O59" s="120">
        <f t="shared" si="3"/>
        <v>5.6232420729150805</v>
      </c>
      <c r="P59" s="120">
        <f t="shared" si="3"/>
        <v>5.6232420729150805</v>
      </c>
    </row>
    <row r="60" spans="1:17" ht="48" x14ac:dyDescent="0.25">
      <c r="A60" s="124" t="s">
        <v>883</v>
      </c>
      <c r="B60" s="110" t="s">
        <v>915</v>
      </c>
      <c r="C60" s="111">
        <f>10</f>
        <v>10</v>
      </c>
      <c r="D60" s="112" t="s">
        <v>917</v>
      </c>
      <c r="K60" s="70"/>
    </row>
    <row r="61" spans="1:17" ht="36" x14ac:dyDescent="0.25">
      <c r="A61" s="124" t="s">
        <v>873</v>
      </c>
      <c r="B61" s="110" t="s">
        <v>564</v>
      </c>
      <c r="C61" s="111">
        <f>(SUM('Ввод исходных данных'!J273:J284) -SUM('Ввод исходных данных'!D127:D132))*24</f>
        <v>8448</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744</v>
      </c>
      <c r="J61" s="70">
        <f>'Расчет базового уровня'!L172*24</f>
        <v>720</v>
      </c>
      <c r="K61" s="70">
        <f>'Расчет базового уровня'!M172*24</f>
        <v>432</v>
      </c>
      <c r="L61" s="70">
        <f>'Расчет базового уровня'!N172*24</f>
        <v>744</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1310</v>
      </c>
      <c r="B64" s="110" t="s">
        <v>837</v>
      </c>
      <c r="C64" s="161">
        <f>0.00272*C58*C60*C61/(C62*C63)</f>
        <v>1845.9143623857651</v>
      </c>
      <c r="D64" s="71"/>
      <c r="E64" s="161">
        <f t="shared" ref="E64:K64" si="4">0.00272*E58*$C$60*E61/($C$62*$C$63)</f>
        <v>162.56632168738273</v>
      </c>
      <c r="F64" s="161">
        <f t="shared" si="4"/>
        <v>146.8340970079586</v>
      </c>
      <c r="G64" s="161">
        <f t="shared" si="4"/>
        <v>162.56632168738273</v>
      </c>
      <c r="H64" s="161">
        <f t="shared" si="4"/>
        <v>157.32224679424135</v>
      </c>
      <c r="I64" s="161">
        <f t="shared" si="4"/>
        <v>146.30968951864446</v>
      </c>
      <c r="J64" s="161">
        <f t="shared" si="4"/>
        <v>141.59002211481723</v>
      </c>
      <c r="K64" s="161">
        <f t="shared" si="4"/>
        <v>84.954013268890336</v>
      </c>
      <c r="L64" s="161">
        <f>0.00272*L58*$C$60*L61/($C$62*$C$63)</f>
        <v>146.30968951864446</v>
      </c>
      <c r="M64" s="161">
        <f>0.00272*M58*$C$60*M61/($C$62*$C$63)</f>
        <v>141.59002211481723</v>
      </c>
      <c r="N64" s="161">
        <f>0.00272*N58*$C$60*N61/($C$62*$C$63)</f>
        <v>162.56632168738273</v>
      </c>
      <c r="O64" s="161">
        <f>0.00272*O58*$C$60*O61/($C$62*$C$63)</f>
        <v>157.32224679424135</v>
      </c>
      <c r="P64" s="161">
        <f>0.00272*P58*$C$60*P61/($C$62*$C$63)</f>
        <v>162.56632168738273</v>
      </c>
    </row>
    <row r="65" spans="1:16" ht="27.95" customHeight="1" x14ac:dyDescent="0.25">
      <c r="A65" s="76" t="s">
        <v>967</v>
      </c>
      <c r="B65" s="164"/>
      <c r="C65" s="165">
        <f ca="1">0.00272*C59*C60*C61/(C62*C63)*IF('Список мероприятий'!AB46=1,0.9,1)*IF('Список мероприятий'!AB54=1,0.9572,1)</f>
        <v>1839.4089373200889</v>
      </c>
      <c r="D65" s="166"/>
      <c r="E65" s="163">
        <f>0.00272*E59*$C$60*E61/(C62*C63)*IF('Список мероприятий'!AB46=1,0.9,1)*IF('Список мероприятий'!AB54=1,0.9572,1)</f>
        <v>162.56632168738273</v>
      </c>
      <c r="F65" s="163">
        <f>0.00272*F59*$C$60*F61/(C62*C63)*IF('Список мероприятий'!AB46=1,0.9,1)*IF('Список мероприятий'!AB54=1,0.9572,1)</f>
        <v>146.8340970079586</v>
      </c>
      <c r="G65" s="163">
        <f>0.00272*G59*$C$60*G61/(C62*C63)*IF('Список мероприятий'!AB46=1,0.9,1)*IF('Список мероприятий'!AB54=1,0.9572,1)</f>
        <v>162.56632168738273</v>
      </c>
      <c r="H65" s="163">
        <f>0.00272*H59*$C$60*H61/(C62*C63)*IF('Список мероприятий'!AB46=1,0.9,1)*IF('Список мероприятий'!AB54=1,0.9572,1)</f>
        <v>157.32224679424135</v>
      </c>
      <c r="I65" s="163">
        <f>0.00272*I59*$C$60*I61/(C62*C63)*IF('Список мероприятий'!AB46=1,0.9,1)*IF('Список мероприятий'!AB54=1,0.9572,1)</f>
        <v>146.30968951864446</v>
      </c>
      <c r="J65" s="163">
        <f>0.00272*J59*$C$60*J61/(C62*C63)*IF('Список мероприятий'!AB46=1,0.9,1)*IF('Список мероприятий'!AB54=1,0.9572,1)</f>
        <v>141.59002211481723</v>
      </c>
      <c r="K65" s="163">
        <f>0.00272*K59*$C$60*K61/(C62*C63)*IF('Список мероприятий'!AB46=1,0.9,1)*IF('Список мероприятий'!AB54=1,0.9572,1)</f>
        <v>84.954013268890336</v>
      </c>
      <c r="L65" s="163">
        <f>0.00272*L59*$C$60*L61/(C62*C63)*IF('Список мероприятий'!AB46=1,0.9,1)*IF('Список мероприятий'!AB54=1,0.9572,1)</f>
        <v>146.30968951864446</v>
      </c>
      <c r="M65" s="163">
        <f>0.00272*M59*$C$60*M61/(C62*C63)*IF('Список мероприятий'!AB46=1,0.9,1)*IF('Список мероприятий'!AB54=1,0.9572,1)</f>
        <v>141.59002211481723</v>
      </c>
      <c r="N65" s="163">
        <f>0.00272*N59*$C$60*N61/(C62*C63)*IF('Список мероприятий'!AB46=1,0.9,1)*IF('Список мероприятий'!AB54=1,0.9572,1)</f>
        <v>162.56632168738273</v>
      </c>
      <c r="O65" s="163">
        <f>0.00272*O59*$C$60*O61/(C62*C63)*IF('Список мероприятий'!AB46=1,0.9,1)*IF('Список мероприятий'!AB54=1,0.9572,1)</f>
        <v>157.32224679424135</v>
      </c>
      <c r="P65" s="163">
        <f>0.00272*P59*$C$60*P61/(C62*C63)*IF('Список мероприятий'!AB46=1,0.9,1)*IF('Список мероприятий'!AB54=1,0.9572,1)</f>
        <v>162.56632168738273</v>
      </c>
    </row>
    <row r="66" spans="1:16" x14ac:dyDescent="0.25">
      <c r="A66" s="66" t="s">
        <v>886</v>
      </c>
      <c r="B66" s="76"/>
      <c r="C66" s="76"/>
      <c r="D66" s="76"/>
      <c r="E66" s="76"/>
      <c r="F66" s="76"/>
    </row>
    <row r="67" spans="1:16" x14ac:dyDescent="0.25">
      <c r="A67" s="2569" t="s">
        <v>829</v>
      </c>
      <c r="B67" s="1409" t="s">
        <v>830</v>
      </c>
      <c r="C67" s="2570" t="s">
        <v>754</v>
      </c>
      <c r="D67" s="2571"/>
      <c r="E67" s="2571"/>
      <c r="F67" s="2571"/>
      <c r="G67" s="2572"/>
    </row>
    <row r="68" spans="1:16" ht="51" x14ac:dyDescent="0.25">
      <c r="A68" s="2569"/>
      <c r="B68" s="1409"/>
      <c r="C68" s="168" t="s">
        <v>831</v>
      </c>
      <c r="D68" s="169" t="s">
        <v>832</v>
      </c>
      <c r="E68" s="169" t="s">
        <v>833</v>
      </c>
      <c r="F68" s="169" t="s">
        <v>834</v>
      </c>
      <c r="G68" s="1410"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63" t="s">
        <v>580</v>
      </c>
      <c r="B86" s="179" t="s">
        <v>581</v>
      </c>
      <c r="C86" s="178" t="s">
        <v>579</v>
      </c>
      <c r="D86" s="51">
        <v>8760</v>
      </c>
      <c r="E86" s="51">
        <v>240</v>
      </c>
    </row>
    <row r="87" spans="1:5" ht="15.75" x14ac:dyDescent="0.25">
      <c r="A87" s="2564"/>
      <c r="B87" s="179" t="s">
        <v>582</v>
      </c>
      <c r="C87" s="178"/>
    </row>
    <row r="88" spans="1:5" ht="15.75" x14ac:dyDescent="0.25">
      <c r="A88" s="2564"/>
      <c r="B88" s="179" t="s">
        <v>583</v>
      </c>
      <c r="C88" s="178" t="s">
        <v>579</v>
      </c>
      <c r="D88" s="51">
        <v>300</v>
      </c>
    </row>
    <row r="89" spans="1:5" ht="31.5" x14ac:dyDescent="0.25">
      <c r="A89" s="2564"/>
      <c r="B89" s="181" t="s">
        <v>584</v>
      </c>
      <c r="C89" s="178" t="s">
        <v>579</v>
      </c>
      <c r="D89" s="51">
        <v>100</v>
      </c>
    </row>
    <row r="90" spans="1:5" ht="15.75" x14ac:dyDescent="0.25">
      <c r="A90" s="2565"/>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3" sqref="F3"/>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55" t="s">
        <v>1402</v>
      </c>
      <c r="B1" s="2455"/>
      <c r="C1" s="2455"/>
      <c r="D1" s="2455"/>
      <c r="E1" s="2455"/>
      <c r="F1" s="2455"/>
      <c r="G1" s="2455"/>
      <c r="H1" s="2455"/>
      <c r="I1" s="2455"/>
      <c r="J1" s="2455"/>
      <c r="K1" s="2455"/>
      <c r="L1" s="2455"/>
      <c r="M1" s="2455"/>
      <c r="N1" s="2455"/>
      <c r="O1" s="2455"/>
      <c r="P1" s="2455"/>
      <c r="Q1" s="2455"/>
      <c r="R1" s="2455"/>
      <c r="S1" s="2455"/>
      <c r="T1" s="2455"/>
      <c r="U1" s="2455"/>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78" t="s">
        <v>1403</v>
      </c>
      <c r="B3" s="2579" t="s">
        <v>912</v>
      </c>
      <c r="C3" s="2580" t="s">
        <v>987</v>
      </c>
      <c r="D3" s="2580" t="s">
        <v>785</v>
      </c>
      <c r="F3" s="186">
        <v>1</v>
      </c>
      <c r="H3" s="60"/>
      <c r="I3" s="60"/>
      <c r="J3" s="60"/>
      <c r="K3" s="60"/>
      <c r="L3" s="60"/>
      <c r="M3" s="60"/>
      <c r="N3" s="60"/>
      <c r="O3" s="60"/>
      <c r="P3" s="60"/>
      <c r="Q3" s="60"/>
    </row>
    <row r="4" spans="1:59" x14ac:dyDescent="0.25">
      <c r="A4" s="2578"/>
      <c r="B4" s="2579"/>
      <c r="C4" s="2580"/>
      <c r="D4" s="2580"/>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0</v>
      </c>
      <c r="C11" s="196">
        <f>IF(F14=0,1,0)</f>
        <v>1</v>
      </c>
      <c r="H11" s="60"/>
      <c r="I11" s="60"/>
      <c r="J11" s="60"/>
      <c r="K11" s="60"/>
      <c r="L11" s="60"/>
      <c r="M11" s="60"/>
      <c r="N11" s="60"/>
      <c r="O11" s="60"/>
      <c r="P11" s="60"/>
      <c r="Q11" s="60"/>
    </row>
    <row r="12" spans="1:59" ht="18" x14ac:dyDescent="0.35">
      <c r="A12" s="2580" t="s">
        <v>786</v>
      </c>
      <c r="B12" s="2581" t="s">
        <v>792</v>
      </c>
      <c r="C12" s="2581"/>
      <c r="E12" s="51">
        <f>SUMPRODUCT(D14:D17,B14:B17)*B11+SUMPRODUCT(D14:D17,C14:C17)*C11</f>
        <v>0.3</v>
      </c>
      <c r="H12" s="60"/>
      <c r="I12" s="60"/>
      <c r="J12" s="60"/>
      <c r="K12" s="60"/>
      <c r="L12" s="60"/>
      <c r="M12" s="60"/>
      <c r="N12" s="60"/>
      <c r="O12" s="60"/>
      <c r="P12" s="60"/>
      <c r="Q12" s="60"/>
    </row>
    <row r="13" spans="1:59" ht="87.6" customHeight="1" x14ac:dyDescent="0.25">
      <c r="A13" s="2580"/>
      <c r="B13" s="197" t="s">
        <v>791</v>
      </c>
      <c r="C13" s="197" t="s">
        <v>1404</v>
      </c>
      <c r="F13" s="186"/>
      <c r="G13" s="186">
        <f>IF(F20=1,1,IF(F21=1,2,0))</f>
        <v>0</v>
      </c>
      <c r="H13" s="60"/>
      <c r="I13" s="60"/>
      <c r="J13" s="60"/>
      <c r="K13" s="60"/>
      <c r="L13" s="60"/>
      <c r="M13" s="60"/>
      <c r="N13" s="60"/>
      <c r="O13" s="60"/>
      <c r="P13" s="60"/>
      <c r="Q13" s="60"/>
    </row>
    <row r="14" spans="1:59" ht="25.5" x14ac:dyDescent="0.25">
      <c r="A14" s="198" t="s">
        <v>787</v>
      </c>
      <c r="B14" s="199">
        <f>0.25</f>
        <v>0.25</v>
      </c>
      <c r="C14" s="199">
        <f>0.2</f>
        <v>0.2</v>
      </c>
      <c r="D14" s="51">
        <f>IF(AND($F$15=1,$F$16=1),1,0)</f>
        <v>0</v>
      </c>
      <c r="E14" s="51" t="s">
        <v>731</v>
      </c>
      <c r="F14" s="186">
        <f>IF(OR(G13=1),1,0)</f>
        <v>0</v>
      </c>
      <c r="G14" s="186" t="b">
        <v>1</v>
      </c>
    </row>
    <row r="15" spans="1:59" ht="25.5" x14ac:dyDescent="0.25">
      <c r="A15" s="198" t="s">
        <v>788</v>
      </c>
      <c r="B15" s="199">
        <f>0.15</f>
        <v>0.15</v>
      </c>
      <c r="C15" s="199">
        <f>0.1</f>
        <v>0.1</v>
      </c>
      <c r="D15" s="51">
        <f>IF(AND($F$15=1,$F$16=0),1,0)</f>
        <v>0</v>
      </c>
      <c r="E15" s="51" t="s">
        <v>729</v>
      </c>
      <c r="F15" s="186">
        <f>IF(G15=TRUE,1,0)</f>
        <v>0</v>
      </c>
      <c r="G15" s="186" t="b">
        <v>0</v>
      </c>
    </row>
    <row r="16" spans="1:59" ht="25.5" x14ac:dyDescent="0.25">
      <c r="A16" s="198" t="s">
        <v>789</v>
      </c>
      <c r="B16" s="199">
        <v>0.35</v>
      </c>
      <c r="C16" s="199">
        <v>0.3</v>
      </c>
      <c r="D16" s="51">
        <f>IF(AND($F$15=0,$F$16=1),1,0)</f>
        <v>1</v>
      </c>
      <c r="E16" s="51" t="s">
        <v>730</v>
      </c>
      <c r="F16" s="186">
        <f>IF(G16=TRUE,1,0)</f>
        <v>1</v>
      </c>
      <c r="G16" s="186" t="b">
        <v>1</v>
      </c>
    </row>
    <row r="17" spans="1:11" ht="25.5" x14ac:dyDescent="0.25">
      <c r="A17" s="198" t="s">
        <v>790</v>
      </c>
      <c r="B17" s="199">
        <f>0.25</f>
        <v>0.25</v>
      </c>
      <c r="C17" s="199">
        <f>0.2</f>
        <v>0.2</v>
      </c>
      <c r="D17" s="51">
        <f>IF(AND($F$15=0,$F$16=0),1,0)</f>
        <v>0</v>
      </c>
      <c r="E17" s="51" t="s">
        <v>1340</v>
      </c>
      <c r="F17" s="186">
        <f>IF(G17=TRUE,1,0)</f>
        <v>1</v>
      </c>
      <c r="G17" s="186" t="b">
        <v>1</v>
      </c>
    </row>
    <row r="18" spans="1:11" x14ac:dyDescent="0.25">
      <c r="F18" s="186"/>
      <c r="G18" s="186">
        <v>1</v>
      </c>
    </row>
    <row r="19" spans="1:11" x14ac:dyDescent="0.25">
      <c r="E19" s="51" t="s">
        <v>1341</v>
      </c>
      <c r="F19" s="186">
        <f>IF($G$18=1,1,0)</f>
        <v>1</v>
      </c>
      <c r="G19" s="186"/>
    </row>
    <row r="20" spans="1:11" x14ac:dyDescent="0.25">
      <c r="E20" s="51" t="s">
        <v>1483</v>
      </c>
      <c r="F20" s="186">
        <f>IF($G$18=2,1,0)</f>
        <v>0</v>
      </c>
      <c r="G20" s="186"/>
    </row>
    <row r="21" spans="1:11" x14ac:dyDescent="0.25">
      <c r="E21" s="51" t="s">
        <v>1484</v>
      </c>
      <c r="F21" s="186">
        <f>IF($G$18=3,1,0)</f>
        <v>0</v>
      </c>
      <c r="G21" s="186"/>
    </row>
    <row r="30" spans="1:11" ht="15.75" thickBot="1" x14ac:dyDescent="0.3"/>
    <row r="31" spans="1:11" ht="16.5" thickBot="1" x14ac:dyDescent="0.3">
      <c r="A31" s="201" t="s">
        <v>728</v>
      </c>
      <c r="B31" s="2576" t="s">
        <v>554</v>
      </c>
      <c r="C31" s="2577"/>
      <c r="I31" s="202" t="s">
        <v>913</v>
      </c>
    </row>
    <row r="32" spans="1:11" ht="63.75" thickBot="1" x14ac:dyDescent="0.3">
      <c r="A32" s="203"/>
      <c r="B32" s="204" t="s">
        <v>555</v>
      </c>
      <c r="C32" s="205" t="s">
        <v>556</v>
      </c>
      <c r="I32" s="2573" t="s">
        <v>1405</v>
      </c>
      <c r="J32" s="2573"/>
      <c r="K32" s="2573"/>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0</v>
      </c>
      <c r="E34" s="208">
        <f>IF((G15=TRUE)*AND(G16=TRUE)*AND(G14=FALSE),1,0)</f>
        <v>0</v>
      </c>
      <c r="I34" s="209" t="s">
        <v>1406</v>
      </c>
      <c r="J34" s="2574"/>
      <c r="K34" s="2575"/>
    </row>
    <row r="35" spans="1:15" ht="32.25" thickBot="1" x14ac:dyDescent="0.3">
      <c r="A35" s="206" t="s">
        <v>558</v>
      </c>
      <c r="B35" s="204">
        <v>0.35</v>
      </c>
      <c r="C35" s="204">
        <v>0.3</v>
      </c>
      <c r="D35" s="204">
        <f>IF((G15=FALSE)*AND(G16=TRUE)*AND(G14=TRUE),1,0)</f>
        <v>1</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G27" sqref="G27"/>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2407</v>
      </c>
      <c r="D2" s="219" t="s">
        <v>2407</v>
      </c>
      <c r="F2" s="219" t="s">
        <v>2407</v>
      </c>
      <c r="G2" s="220" t="s">
        <v>2407</v>
      </c>
      <c r="J2" s="221" t="s">
        <v>460</v>
      </c>
      <c r="K2" s="222" t="s">
        <v>457</v>
      </c>
      <c r="N2" s="219" t="s">
        <v>2407</v>
      </c>
      <c r="P2" s="223" t="s">
        <v>468</v>
      </c>
      <c r="R2" s="223" t="s">
        <v>469</v>
      </c>
      <c r="T2" s="223" t="s">
        <v>470</v>
      </c>
      <c r="W2" s="51" t="s">
        <v>606</v>
      </c>
      <c r="Y2" s="51" t="s">
        <v>607</v>
      </c>
      <c r="AA2" s="51" t="s">
        <v>608</v>
      </c>
      <c r="AC2" s="51" t="s">
        <v>1223</v>
      </c>
      <c r="AE2" s="51" t="s">
        <v>1224</v>
      </c>
      <c r="AG2" s="51" t="s">
        <v>1259</v>
      </c>
      <c r="AI2" s="224" t="s">
        <v>758</v>
      </c>
      <c r="AK2" s="224" t="s">
        <v>799</v>
      </c>
      <c r="AN2" s="51" t="s">
        <v>1152</v>
      </c>
      <c r="AR2" s="51" t="s">
        <v>1154</v>
      </c>
    </row>
    <row r="3" spans="2:44" ht="15.75" x14ac:dyDescent="0.25">
      <c r="B3" s="71" t="s">
        <v>446</v>
      </c>
      <c r="D3" s="51" t="s">
        <v>448</v>
      </c>
      <c r="F3" s="225" t="s">
        <v>0</v>
      </c>
      <c r="G3" s="226">
        <v>3</v>
      </c>
      <c r="J3" s="227" t="s">
        <v>2407</v>
      </c>
      <c r="K3" s="227" t="s">
        <v>2407</v>
      </c>
      <c r="N3" s="51" t="s">
        <v>466</v>
      </c>
      <c r="P3" s="228" t="s">
        <v>461</v>
      </c>
      <c r="R3" s="228" t="s">
        <v>461</v>
      </c>
      <c r="T3" s="228" t="s">
        <v>461</v>
      </c>
      <c r="W3" s="219" t="s">
        <v>461</v>
      </c>
      <c r="Y3" s="219" t="s">
        <v>461</v>
      </c>
      <c r="AA3" s="219" t="s">
        <v>461</v>
      </c>
      <c r="AC3" s="219" t="s">
        <v>461</v>
      </c>
      <c r="AD3" s="219"/>
      <c r="AE3" s="219" t="s">
        <v>461</v>
      </c>
      <c r="AG3" s="219" t="s">
        <v>1253</v>
      </c>
      <c r="AI3" s="229" t="s">
        <v>461</v>
      </c>
      <c r="AK3" s="51" t="s">
        <v>491</v>
      </c>
      <c r="AN3" s="229" t="s">
        <v>2407</v>
      </c>
      <c r="AR3" s="229" t="s">
        <v>2407</v>
      </c>
    </row>
    <row r="4" spans="2:44" ht="15.75" x14ac:dyDescent="0.25">
      <c r="B4" s="71" t="s">
        <v>1375</v>
      </c>
      <c r="D4" s="51" t="s">
        <v>449</v>
      </c>
      <c r="F4" s="230" t="s">
        <v>13</v>
      </c>
      <c r="G4" s="231">
        <v>4</v>
      </c>
      <c r="J4" s="232" t="s">
        <v>0</v>
      </c>
      <c r="K4" s="233" t="s">
        <v>1</v>
      </c>
      <c r="N4" s="51" t="s">
        <v>467</v>
      </c>
      <c r="P4" s="234" t="s">
        <v>471</v>
      </c>
      <c r="R4" s="235" t="s">
        <v>472</v>
      </c>
      <c r="T4" s="234" t="s">
        <v>473</v>
      </c>
      <c r="W4" s="51" t="s">
        <v>926</v>
      </c>
      <c r="AC4" s="51" t="s">
        <v>923</v>
      </c>
      <c r="AE4" s="219" t="s">
        <v>1225</v>
      </c>
      <c r="AF4" s="51">
        <v>0.7</v>
      </c>
      <c r="AG4" s="51" t="str">
        <f>CONCATENATE($AC$4,", ",AE5)</f>
        <v>дерево, двойной раздельный</v>
      </c>
      <c r="AI4" s="236" t="s">
        <v>759</v>
      </c>
      <c r="AK4" s="229" t="s">
        <v>800</v>
      </c>
      <c r="AN4" s="237" t="s">
        <v>970</v>
      </c>
      <c r="AR4" s="51" t="s">
        <v>1153</v>
      </c>
    </row>
    <row r="5" spans="2:44" ht="15.75" x14ac:dyDescent="0.25">
      <c r="B5" s="71" t="s">
        <v>1549</v>
      </c>
      <c r="D5" s="51" t="s">
        <v>450</v>
      </c>
      <c r="F5" s="226" t="s">
        <v>36</v>
      </c>
      <c r="G5" s="226">
        <v>5</v>
      </c>
      <c r="J5" s="232" t="s">
        <v>0</v>
      </c>
      <c r="K5" s="238" t="s">
        <v>3</v>
      </c>
      <c r="P5" s="235" t="s">
        <v>474</v>
      </c>
      <c r="R5" s="235" t="s">
        <v>475</v>
      </c>
      <c r="T5" s="234" t="s">
        <v>476</v>
      </c>
      <c r="W5" s="51" t="s">
        <v>927</v>
      </c>
      <c r="AC5" s="51" t="s">
        <v>924</v>
      </c>
      <c r="AE5" s="51" t="s">
        <v>1226</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1289</v>
      </c>
      <c r="AR5" s="51" t="s">
        <v>467</v>
      </c>
    </row>
    <row r="6" spans="2:44" ht="15.75" x14ac:dyDescent="0.25">
      <c r="B6" s="51" t="s">
        <v>1384</v>
      </c>
      <c r="D6" s="51" t="s">
        <v>451</v>
      </c>
      <c r="F6" s="230" t="s">
        <v>44</v>
      </c>
      <c r="G6" s="231">
        <v>6</v>
      </c>
      <c r="J6" s="232" t="s">
        <v>0</v>
      </c>
      <c r="K6" s="233" t="s">
        <v>632</v>
      </c>
      <c r="R6" s="234" t="s">
        <v>477</v>
      </c>
      <c r="T6" s="235" t="s">
        <v>478</v>
      </c>
      <c r="W6" s="51" t="s">
        <v>928</v>
      </c>
      <c r="AC6" s="51" t="s">
        <v>925</v>
      </c>
      <c r="AE6" s="51" t="s">
        <v>1227</v>
      </c>
      <c r="AF6" s="51">
        <v>0.9</v>
      </c>
      <c r="AG6" s="51" t="str">
        <f>CONCATENATE($AC$4,", ",AE7)</f>
        <v>дерево, одинарный</v>
      </c>
      <c r="AK6" s="229" t="s">
        <v>802</v>
      </c>
      <c r="AN6" s="237" t="s">
        <v>971</v>
      </c>
    </row>
    <row r="7" spans="2:44" ht="15.75" x14ac:dyDescent="0.25">
      <c r="B7" s="71" t="s">
        <v>1764</v>
      </c>
      <c r="D7" s="51" t="s">
        <v>452</v>
      </c>
      <c r="F7" s="225" t="s">
        <v>47</v>
      </c>
      <c r="G7" s="226">
        <v>7</v>
      </c>
      <c r="J7" s="232" t="s">
        <v>0</v>
      </c>
      <c r="K7" s="233" t="s">
        <v>8</v>
      </c>
      <c r="P7" s="223"/>
      <c r="R7" s="235" t="s">
        <v>479</v>
      </c>
      <c r="W7" s="51" t="s">
        <v>929</v>
      </c>
      <c r="AE7" s="51" t="s">
        <v>1228</v>
      </c>
      <c r="AF7" s="51">
        <v>1</v>
      </c>
      <c r="AG7" s="51" t="str">
        <f>CONCATENATE($AC$6,", ",AE5)</f>
        <v>алюминий, двойной раздельный</v>
      </c>
      <c r="AK7" s="51" t="s">
        <v>803</v>
      </c>
      <c r="AN7" s="237" t="s">
        <v>972</v>
      </c>
    </row>
    <row r="8" spans="2:44" ht="15.75" x14ac:dyDescent="0.25">
      <c r="B8" s="51" t="s">
        <v>1765</v>
      </c>
      <c r="D8" s="51" t="s">
        <v>453</v>
      </c>
      <c r="F8" s="230" t="s">
        <v>50</v>
      </c>
      <c r="G8" s="231">
        <v>8</v>
      </c>
      <c r="J8" s="232" t="s">
        <v>0</v>
      </c>
      <c r="K8" s="233" t="s">
        <v>4</v>
      </c>
      <c r="P8" s="235"/>
      <c r="R8" s="234" t="s">
        <v>480</v>
      </c>
      <c r="W8" s="240" t="s">
        <v>919</v>
      </c>
      <c r="AG8" s="51" t="str">
        <f>CONCATENATE($AC$6,", ",AE6)</f>
        <v>алюминий, спаренный</v>
      </c>
      <c r="AK8" s="229" t="s">
        <v>804</v>
      </c>
      <c r="AN8" s="237" t="s">
        <v>973</v>
      </c>
    </row>
    <row r="9" spans="2:44" ht="15.75" x14ac:dyDescent="0.25">
      <c r="B9" s="71" t="s">
        <v>1430</v>
      </c>
      <c r="D9" s="51" t="s">
        <v>454</v>
      </c>
      <c r="F9" s="225" t="s">
        <v>409</v>
      </c>
      <c r="G9" s="226">
        <v>9</v>
      </c>
      <c r="J9" s="232" t="s">
        <v>0</v>
      </c>
      <c r="K9" s="233" t="s">
        <v>5</v>
      </c>
      <c r="R9" s="235" t="s">
        <v>481</v>
      </c>
      <c r="W9" s="240" t="s">
        <v>922</v>
      </c>
      <c r="AG9" s="51" t="str">
        <f>CONCATENATE($AC$6,", ",AE7)</f>
        <v>алюминий, одинарный</v>
      </c>
    </row>
    <row r="10" spans="2:44" ht="15.75" x14ac:dyDescent="0.25">
      <c r="B10" s="71" t="s">
        <v>1376</v>
      </c>
      <c r="D10" s="51" t="s">
        <v>455</v>
      </c>
      <c r="F10" s="230" t="s">
        <v>293</v>
      </c>
      <c r="G10" s="231">
        <v>10</v>
      </c>
      <c r="J10" s="232" t="s">
        <v>0</v>
      </c>
      <c r="K10" s="233" t="s">
        <v>6</v>
      </c>
      <c r="AI10" s="224" t="s">
        <v>1710</v>
      </c>
      <c r="AK10" s="224" t="s">
        <v>799</v>
      </c>
      <c r="AN10" s="51" t="s">
        <v>1275</v>
      </c>
    </row>
    <row r="11" spans="2:44" ht="15.75" x14ac:dyDescent="0.25">
      <c r="B11" s="71" t="s">
        <v>1377</v>
      </c>
      <c r="D11" s="51" t="s">
        <v>456</v>
      </c>
      <c r="F11" s="225" t="s">
        <v>419</v>
      </c>
      <c r="G11" s="226">
        <v>11</v>
      </c>
      <c r="J11" s="232" t="s">
        <v>0</v>
      </c>
      <c r="K11" s="233" t="s">
        <v>7</v>
      </c>
      <c r="R11" s="223"/>
      <c r="AI11" s="75">
        <f ca="1">AI12-1</f>
        <v>2019</v>
      </c>
      <c r="AK11" s="229" t="s">
        <v>2407</v>
      </c>
      <c r="AN11" s="229" t="s">
        <v>461</v>
      </c>
    </row>
    <row r="12" spans="2:44" ht="15.75" x14ac:dyDescent="0.25">
      <c r="B12" s="241" t="s">
        <v>1378</v>
      </c>
      <c r="F12" s="230" t="s">
        <v>422</v>
      </c>
      <c r="G12" s="231">
        <v>12</v>
      </c>
      <c r="J12" s="232" t="s">
        <v>13</v>
      </c>
      <c r="K12" s="233" t="s">
        <v>633</v>
      </c>
      <c r="R12" s="228"/>
      <c r="AI12" s="75">
        <f ca="1">AI13-1</f>
        <v>2020</v>
      </c>
      <c r="AK12" s="51" t="str">
        <f>LOWER(TEXT(DATEVALUE("01.01.2000"),"ММММ"))</f>
        <v>январь</v>
      </c>
      <c r="AL12" s="51">
        <v>1</v>
      </c>
      <c r="AM12" s="51">
        <v>31</v>
      </c>
      <c r="AN12" s="237" t="s">
        <v>1778</v>
      </c>
    </row>
    <row r="13" spans="2:44" ht="15.75" x14ac:dyDescent="0.25">
      <c r="B13" s="71" t="s">
        <v>1379</v>
      </c>
      <c r="F13" s="225" t="s">
        <v>95</v>
      </c>
      <c r="G13" s="226">
        <v>13</v>
      </c>
      <c r="J13" s="232" t="s">
        <v>13</v>
      </c>
      <c r="K13" s="233" t="s">
        <v>14</v>
      </c>
      <c r="R13" s="235"/>
      <c r="AI13" s="75">
        <f ca="1">YEAR(TODAY())</f>
        <v>2021</v>
      </c>
      <c r="AK13" s="51" t="str">
        <f>LOWER(TEXT(DATEVALUE("01.02.2000"),"ММММ"))</f>
        <v>февраль</v>
      </c>
      <c r="AL13" s="51">
        <v>2</v>
      </c>
      <c r="AM13" s="51">
        <v>28</v>
      </c>
      <c r="AN13" s="237" t="s">
        <v>971</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972</v>
      </c>
    </row>
    <row r="15" spans="2:44" ht="15.75" x14ac:dyDescent="0.25">
      <c r="B15" s="71" t="s">
        <v>1547</v>
      </c>
      <c r="F15" s="225" t="s">
        <v>91</v>
      </c>
      <c r="G15" s="226">
        <v>15</v>
      </c>
      <c r="J15" s="232" t="s">
        <v>13</v>
      </c>
      <c r="K15" s="233" t="s">
        <v>16</v>
      </c>
      <c r="M15" s="224" t="s">
        <v>613</v>
      </c>
      <c r="O15" s="224" t="s">
        <v>1229</v>
      </c>
      <c r="R15" s="234"/>
      <c r="AK15" s="51" t="str">
        <f>LOWER(TEXT(DATEVALUE("01.04.2000"),"ММММ"))</f>
        <v>апрель</v>
      </c>
      <c r="AL15" s="51">
        <v>4</v>
      </c>
      <c r="AM15" s="51">
        <v>30</v>
      </c>
      <c r="AN15" s="237"/>
    </row>
    <row r="16" spans="2:44" ht="15.75" x14ac:dyDescent="0.25">
      <c r="B16" s="51" t="s">
        <v>1548</v>
      </c>
      <c r="F16" s="230" t="s">
        <v>71</v>
      </c>
      <c r="G16" s="231">
        <v>16</v>
      </c>
      <c r="J16" s="232" t="s">
        <v>13</v>
      </c>
      <c r="K16" s="233" t="s">
        <v>17</v>
      </c>
      <c r="M16" s="229" t="s">
        <v>1251</v>
      </c>
      <c r="O16" s="229" t="s">
        <v>1250</v>
      </c>
      <c r="R16" s="235"/>
      <c r="AK16" s="51" t="str">
        <f>LOWER(TEXT(DATEVALUE("01.05.2000"),"ММММ"))</f>
        <v>май</v>
      </c>
      <c r="AL16" s="51">
        <v>5</v>
      </c>
      <c r="AM16" s="51">
        <v>31</v>
      </c>
    </row>
    <row r="17" spans="2:40" ht="15.75" x14ac:dyDescent="0.25">
      <c r="B17" s="71" t="s">
        <v>1380</v>
      </c>
      <c r="F17" s="225" t="s">
        <v>614</v>
      </c>
      <c r="G17" s="226">
        <v>17</v>
      </c>
      <c r="J17" s="232" t="s">
        <v>13</v>
      </c>
      <c r="K17" s="233" t="s">
        <v>18</v>
      </c>
      <c r="M17" s="51" t="s">
        <v>1230</v>
      </c>
      <c r="O17" s="71">
        <v>5</v>
      </c>
      <c r="R17" s="234"/>
      <c r="AK17" s="51" t="str">
        <f>LOWER(TEXT(DATEVALUE("01.06.2000"),"ММММ"))</f>
        <v>июнь</v>
      </c>
      <c r="AL17" s="51">
        <v>6</v>
      </c>
      <c r="AM17" s="51">
        <v>30</v>
      </c>
      <c r="AN17" s="229" t="s">
        <v>461</v>
      </c>
    </row>
    <row r="18" spans="2:40" ht="15.75" x14ac:dyDescent="0.25">
      <c r="B18" s="71" t="s">
        <v>1381</v>
      </c>
      <c r="F18" s="230" t="s">
        <v>100</v>
      </c>
      <c r="G18" s="231">
        <v>18</v>
      </c>
      <c r="J18" s="232" t="s">
        <v>13</v>
      </c>
      <c r="K18" s="242" t="s">
        <v>23</v>
      </c>
      <c r="M18" s="51" t="s">
        <v>1231</v>
      </c>
      <c r="O18" s="71">
        <v>10</v>
      </c>
      <c r="R18" s="235"/>
      <c r="AK18" s="51" t="str">
        <f>LOWER(TEXT(DATEVALUE("01.07.2000"),"ММММ"))</f>
        <v>июль</v>
      </c>
      <c r="AL18" s="51">
        <v>7</v>
      </c>
      <c r="AM18" s="51">
        <v>31</v>
      </c>
      <c r="AN18" s="51" t="s">
        <v>2447</v>
      </c>
    </row>
    <row r="19" spans="2:40" ht="15.75" x14ac:dyDescent="0.25">
      <c r="B19" s="71" t="s">
        <v>1382</v>
      </c>
      <c r="F19" s="225" t="s">
        <v>102</v>
      </c>
      <c r="G19" s="226">
        <v>19</v>
      </c>
      <c r="J19" s="232" t="s">
        <v>13</v>
      </c>
      <c r="K19" s="233" t="s">
        <v>20</v>
      </c>
      <c r="M19" s="51" t="s">
        <v>1232</v>
      </c>
      <c r="O19" s="71">
        <v>15</v>
      </c>
      <c r="AK19" s="51" t="str">
        <f>LOWER(TEXT(DATEVALUE("01.08.2000"),"ММММ"))</f>
        <v>август</v>
      </c>
      <c r="AL19" s="51">
        <v>8</v>
      </c>
      <c r="AM19" s="51">
        <v>31</v>
      </c>
      <c r="AN19" s="237" t="s">
        <v>972</v>
      </c>
    </row>
    <row r="20" spans="2:40" ht="15.75" x14ac:dyDescent="0.25">
      <c r="B20" s="243" t="s">
        <v>1383</v>
      </c>
      <c r="F20" s="230" t="s">
        <v>615</v>
      </c>
      <c r="G20" s="231">
        <v>20</v>
      </c>
      <c r="J20" s="232" t="s">
        <v>13</v>
      </c>
      <c r="K20" s="233" t="s">
        <v>22</v>
      </c>
      <c r="M20" s="51" t="s">
        <v>1777</v>
      </c>
      <c r="O20" s="71">
        <v>20</v>
      </c>
      <c r="R20" s="223"/>
      <c r="AK20" s="51" t="str">
        <f>LOWER(TEXT(DATEVALUE("01.09.2000"),"ММММ"))</f>
        <v>сентябрь</v>
      </c>
      <c r="AL20" s="51">
        <v>9</v>
      </c>
      <c r="AM20" s="51">
        <v>30</v>
      </c>
      <c r="AN20" s="237"/>
    </row>
    <row r="21" spans="2:40" ht="15.75" x14ac:dyDescent="0.25">
      <c r="B21" s="244" t="s">
        <v>1429</v>
      </c>
      <c r="F21" s="225" t="s">
        <v>616</v>
      </c>
      <c r="G21" s="226">
        <v>21</v>
      </c>
      <c r="J21" s="232" t="s">
        <v>13</v>
      </c>
      <c r="K21" s="233" t="s">
        <v>34</v>
      </c>
      <c r="O21" s="71">
        <v>25</v>
      </c>
      <c r="R21" s="228"/>
      <c r="AK21" s="51" t="str">
        <f>LOWER(TEXT(DATEVALUE("01.10.2000"),"ММММ"))</f>
        <v>октябрь</v>
      </c>
      <c r="AL21" s="51">
        <v>10</v>
      </c>
      <c r="AM21" s="51">
        <v>31</v>
      </c>
      <c r="AN21" s="229" t="s">
        <v>2407</v>
      </c>
    </row>
    <row r="22" spans="2:40" ht="36" customHeight="1" x14ac:dyDescent="0.25">
      <c r="B22" s="243" t="s">
        <v>609</v>
      </c>
      <c r="F22" s="230" t="s">
        <v>113</v>
      </c>
      <c r="G22" s="231">
        <v>22</v>
      </c>
      <c r="J22" s="232" t="s">
        <v>13</v>
      </c>
      <c r="K22" s="233" t="s">
        <v>35</v>
      </c>
      <c r="M22" s="224" t="s">
        <v>1233</v>
      </c>
      <c r="O22" s="71">
        <v>30</v>
      </c>
      <c r="R22" s="234"/>
      <c r="AK22" s="51" t="str">
        <f>LOWER(TEXT(DATEVALUE("01.11.2000"),"ММММ"))</f>
        <v>ноябрь</v>
      </c>
      <c r="AL22" s="51">
        <v>11</v>
      </c>
      <c r="AM22" s="51">
        <v>30</v>
      </c>
      <c r="AN22" s="51" t="s">
        <v>2448</v>
      </c>
    </row>
    <row r="23" spans="2:40" ht="24" x14ac:dyDescent="0.25">
      <c r="B23" s="243" t="s">
        <v>1352</v>
      </c>
      <c r="F23" s="225" t="s">
        <v>142</v>
      </c>
      <c r="G23" s="226">
        <v>23</v>
      </c>
      <c r="J23" s="232" t="s">
        <v>13</v>
      </c>
      <c r="K23" s="233" t="s">
        <v>634</v>
      </c>
      <c r="M23" s="229" t="s">
        <v>1234</v>
      </c>
      <c r="R23" s="235"/>
      <c r="AK23" s="51" t="str">
        <f>LOWER(TEXT(DATEVALUE("01.12.2000"),"ММММ"))</f>
        <v>декабрь</v>
      </c>
      <c r="AL23" s="51">
        <v>12</v>
      </c>
      <c r="AM23" s="51">
        <v>31</v>
      </c>
      <c r="AN23" s="51" t="s">
        <v>2447</v>
      </c>
    </row>
    <row r="24" spans="2:40" ht="15.75" x14ac:dyDescent="0.25">
      <c r="B24" s="245"/>
      <c r="F24" s="230" t="s">
        <v>155</v>
      </c>
      <c r="G24" s="231">
        <v>24</v>
      </c>
      <c r="J24" s="232" t="s">
        <v>13</v>
      </c>
      <c r="K24" s="233" t="s">
        <v>24</v>
      </c>
      <c r="M24" s="51" t="s">
        <v>1369</v>
      </c>
      <c r="AL24" s="1296">
        <f>EDATE(DATE('Ввод исходных данных'!E202,VLOOKUP('Ввод исходных данных'!D202,списки!AK11:AM23,2,0),1),1)-1</f>
        <v>43343</v>
      </c>
      <c r="AM24" s="1296"/>
      <c r="AN24" s="237" t="s">
        <v>972</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1237</v>
      </c>
      <c r="R27" s="223"/>
    </row>
    <row r="28" spans="2:40" ht="15.75" x14ac:dyDescent="0.25">
      <c r="B28" s="245"/>
      <c r="F28" s="230" t="s">
        <v>49</v>
      </c>
      <c r="G28" s="231">
        <v>28</v>
      </c>
      <c r="J28" s="232" t="s">
        <v>13</v>
      </c>
      <c r="K28" s="233" t="s">
        <v>28</v>
      </c>
      <c r="M28" s="229" t="s">
        <v>1251</v>
      </c>
      <c r="R28" s="228"/>
    </row>
    <row r="29" spans="2:40" ht="15.75" customHeight="1" x14ac:dyDescent="0.25">
      <c r="F29" s="225" t="s">
        <v>185</v>
      </c>
      <c r="G29" s="226">
        <v>29</v>
      </c>
      <c r="J29" s="232" t="s">
        <v>13</v>
      </c>
      <c r="K29" s="233" t="s">
        <v>30</v>
      </c>
      <c r="M29" s="51" t="s">
        <v>1235</v>
      </c>
      <c r="R29" s="235"/>
    </row>
    <row r="30" spans="2:40" ht="24" x14ac:dyDescent="0.25">
      <c r="B30" s="1339" t="s">
        <v>1457</v>
      </c>
      <c r="C30" s="1339"/>
      <c r="D30" s="1339"/>
      <c r="F30" s="230" t="s">
        <v>188</v>
      </c>
      <c r="G30" s="231">
        <v>30</v>
      </c>
      <c r="J30" s="232" t="s">
        <v>13</v>
      </c>
      <c r="K30" s="233" t="s">
        <v>31</v>
      </c>
      <c r="M30" s="51" t="s">
        <v>1236</v>
      </c>
      <c r="R30" s="235"/>
    </row>
    <row r="31" spans="2:40" ht="15.75" x14ac:dyDescent="0.25">
      <c r="B31" s="71" t="s">
        <v>519</v>
      </c>
      <c r="C31" s="214" t="b">
        <v>0</v>
      </c>
      <c r="D31" s="71">
        <f t="shared" ref="D31:D48" si="0">IF(C31=TRUE,1,0)</f>
        <v>0</v>
      </c>
      <c r="F31" s="225" t="s">
        <v>190</v>
      </c>
      <c r="G31" s="226">
        <v>31</v>
      </c>
      <c r="J31" s="232" t="s">
        <v>13</v>
      </c>
      <c r="K31" s="233" t="s">
        <v>32</v>
      </c>
      <c r="N31" s="77" t="s">
        <v>858</v>
      </c>
      <c r="R31" s="234"/>
    </row>
    <row r="32" spans="2:40" ht="15.75" x14ac:dyDescent="0.25">
      <c r="B32" s="71" t="s">
        <v>521</v>
      </c>
      <c r="C32" s="214" t="b">
        <v>0</v>
      </c>
      <c r="D32" s="71">
        <f t="shared" si="0"/>
        <v>0</v>
      </c>
      <c r="F32" s="230" t="s">
        <v>617</v>
      </c>
      <c r="G32" s="231">
        <v>32</v>
      </c>
      <c r="J32" s="232" t="s">
        <v>13</v>
      </c>
      <c r="K32" s="233" t="s">
        <v>33</v>
      </c>
      <c r="N32" s="229" t="s">
        <v>1253</v>
      </c>
      <c r="R32" s="235"/>
    </row>
    <row r="33" spans="1:25" ht="15.75" x14ac:dyDescent="0.25">
      <c r="B33" s="71" t="s">
        <v>518</v>
      </c>
      <c r="C33" s="214" t="b">
        <v>1</v>
      </c>
      <c r="D33" s="71">
        <f t="shared" si="0"/>
        <v>1</v>
      </c>
      <c r="F33" s="225" t="s">
        <v>52</v>
      </c>
      <c r="G33" s="226">
        <v>33</v>
      </c>
      <c r="J33" s="232" t="s">
        <v>13</v>
      </c>
      <c r="K33" s="233" t="s">
        <v>19</v>
      </c>
      <c r="N33" s="51" t="s">
        <v>1240</v>
      </c>
      <c r="R33" s="234"/>
    </row>
    <row r="34" spans="1:25" ht="15.75" x14ac:dyDescent="0.25">
      <c r="B34" s="71" t="s">
        <v>520</v>
      </c>
      <c r="C34" s="214" t="b">
        <v>0</v>
      </c>
      <c r="D34" s="71">
        <f t="shared" si="0"/>
        <v>0</v>
      </c>
      <c r="F34" s="230" t="s">
        <v>202</v>
      </c>
      <c r="G34" s="231">
        <v>34</v>
      </c>
      <c r="J34" s="232" t="s">
        <v>13</v>
      </c>
      <c r="K34" s="233" t="s">
        <v>26</v>
      </c>
      <c r="N34" s="51" t="s">
        <v>1241</v>
      </c>
    </row>
    <row r="35" spans="1:25" ht="15.75" x14ac:dyDescent="0.25">
      <c r="B35" s="74" t="s">
        <v>1345</v>
      </c>
      <c r="C35" s="248" t="b">
        <v>1</v>
      </c>
      <c r="D35" s="74">
        <f t="shared" si="0"/>
        <v>1</v>
      </c>
      <c r="F35" s="225" t="s">
        <v>618</v>
      </c>
      <c r="G35" s="226">
        <v>35</v>
      </c>
      <c r="J35" s="232" t="s">
        <v>13</v>
      </c>
      <c r="K35" s="233" t="s">
        <v>21</v>
      </c>
      <c r="N35" s="51" t="s">
        <v>1242</v>
      </c>
      <c r="R35" s="223"/>
    </row>
    <row r="36" spans="1:25" ht="15.75" x14ac:dyDescent="0.25">
      <c r="B36" s="74" t="s">
        <v>1346</v>
      </c>
      <c r="C36" s="248" t="b">
        <v>1</v>
      </c>
      <c r="D36" s="74">
        <f t="shared" si="0"/>
        <v>1</v>
      </c>
      <c r="F36" s="230" t="s">
        <v>67</v>
      </c>
      <c r="G36" s="231">
        <v>36</v>
      </c>
      <c r="J36" s="232" t="s">
        <v>36</v>
      </c>
      <c r="K36" s="233" t="s">
        <v>37</v>
      </c>
      <c r="N36" s="51" t="s">
        <v>1246</v>
      </c>
      <c r="R36" s="228"/>
    </row>
    <row r="37" spans="1:25" ht="15.75" x14ac:dyDescent="0.25">
      <c r="B37" s="74" t="s">
        <v>1347</v>
      </c>
      <c r="C37" s="248" t="b">
        <v>0</v>
      </c>
      <c r="D37" s="74">
        <f t="shared" si="0"/>
        <v>0</v>
      </c>
      <c r="F37" s="225" t="s">
        <v>226</v>
      </c>
      <c r="G37" s="226">
        <v>37</v>
      </c>
      <c r="J37" s="232" t="s">
        <v>36</v>
      </c>
      <c r="K37" s="233" t="s">
        <v>38</v>
      </c>
      <c r="N37" s="51" t="s">
        <v>1247</v>
      </c>
      <c r="R37" s="235"/>
    </row>
    <row r="38" spans="1:25" ht="15.75" x14ac:dyDescent="0.25">
      <c r="A38" s="186">
        <v>1</v>
      </c>
      <c r="B38" s="74" t="s">
        <v>1348</v>
      </c>
      <c r="C38" s="248" t="b">
        <f>A38=2</f>
        <v>0</v>
      </c>
      <c r="D38" s="74">
        <f t="shared" si="0"/>
        <v>0</v>
      </c>
      <c r="F38" s="230" t="s">
        <v>229</v>
      </c>
      <c r="G38" s="231">
        <v>38</v>
      </c>
      <c r="J38" s="232" t="s">
        <v>36</v>
      </c>
      <c r="K38" s="233" t="s">
        <v>39</v>
      </c>
      <c r="N38" s="51" t="s">
        <v>1243</v>
      </c>
      <c r="R38" s="235"/>
    </row>
    <row r="39" spans="1:25" ht="15.75" x14ac:dyDescent="0.25">
      <c r="B39" s="74" t="s">
        <v>1349</v>
      </c>
      <c r="C39" s="248" t="b">
        <f>A38=3</f>
        <v>0</v>
      </c>
      <c r="D39" s="74">
        <f t="shared" si="0"/>
        <v>0</v>
      </c>
      <c r="F39" s="225" t="s">
        <v>238</v>
      </c>
      <c r="G39" s="226">
        <v>39</v>
      </c>
      <c r="J39" s="232" t="s">
        <v>36</v>
      </c>
      <c r="K39" s="233" t="s">
        <v>41</v>
      </c>
      <c r="N39" s="51" t="s">
        <v>1244</v>
      </c>
      <c r="R39" s="234"/>
    </row>
    <row r="40" spans="1:25" ht="15.75" x14ac:dyDescent="0.25">
      <c r="B40" s="74" t="s">
        <v>1435</v>
      </c>
      <c r="C40" s="248" t="b">
        <v>0</v>
      </c>
      <c r="D40" s="74">
        <f>IF(C40=TRUE,1,0)</f>
        <v>0</v>
      </c>
      <c r="F40" s="230" t="s">
        <v>242</v>
      </c>
      <c r="G40" s="231">
        <v>40</v>
      </c>
      <c r="J40" s="232" t="s">
        <v>36</v>
      </c>
      <c r="K40" s="233" t="s">
        <v>40</v>
      </c>
      <c r="N40" s="51" t="s">
        <v>1245</v>
      </c>
      <c r="R40" s="235"/>
    </row>
    <row r="41" spans="1:25" ht="15.75" x14ac:dyDescent="0.25">
      <c r="B41" s="74" t="s">
        <v>1449</v>
      </c>
      <c r="C41" s="248" t="b">
        <v>0</v>
      </c>
      <c r="D41" s="74">
        <f t="shared" si="0"/>
        <v>0</v>
      </c>
      <c r="F41" s="225" t="s">
        <v>246</v>
      </c>
      <c r="G41" s="226">
        <v>41</v>
      </c>
      <c r="J41" s="232" t="s">
        <v>36</v>
      </c>
      <c r="K41" s="233" t="s">
        <v>42</v>
      </c>
      <c r="R41" s="234"/>
    </row>
    <row r="42" spans="1:25" ht="15.75" x14ac:dyDescent="0.25">
      <c r="B42" s="74" t="s">
        <v>2027</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1450</v>
      </c>
      <c r="C43" s="248" t="b">
        <v>0</v>
      </c>
      <c r="D43" s="74">
        <f t="shared" si="0"/>
        <v>0</v>
      </c>
      <c r="F43" s="225" t="s">
        <v>619</v>
      </c>
      <c r="G43" s="226">
        <v>43</v>
      </c>
      <c r="J43" s="250" t="s">
        <v>44</v>
      </c>
      <c r="K43" s="242" t="s">
        <v>45</v>
      </c>
      <c r="N43" s="51" t="s">
        <v>796</v>
      </c>
      <c r="R43" s="223"/>
    </row>
    <row r="44" spans="1:25" ht="15.75" x14ac:dyDescent="0.25">
      <c r="B44" s="249" t="s">
        <v>1460</v>
      </c>
      <c r="C44" s="186" t="b">
        <v>0</v>
      </c>
      <c r="D44" s="74">
        <f t="shared" si="0"/>
        <v>0</v>
      </c>
      <c r="F44" s="230" t="s">
        <v>254</v>
      </c>
      <c r="G44" s="231">
        <v>44</v>
      </c>
      <c r="J44" s="250" t="s">
        <v>44</v>
      </c>
      <c r="K44" s="233" t="s">
        <v>46</v>
      </c>
      <c r="N44" s="229" t="s">
        <v>1252</v>
      </c>
      <c r="R44" s="228"/>
    </row>
    <row r="45" spans="1:25" ht="15.75" x14ac:dyDescent="0.25">
      <c r="B45" s="249" t="s">
        <v>1461</v>
      </c>
      <c r="C45" s="186" t="b">
        <v>0</v>
      </c>
      <c r="D45" s="251">
        <f t="shared" si="0"/>
        <v>0</v>
      </c>
      <c r="F45" s="225" t="s">
        <v>265</v>
      </c>
      <c r="G45" s="226">
        <v>45</v>
      </c>
      <c r="J45" s="250" t="s">
        <v>47</v>
      </c>
      <c r="K45" s="233" t="s">
        <v>48</v>
      </c>
      <c r="N45" s="252" t="s">
        <v>1248</v>
      </c>
      <c r="R45" s="234"/>
    </row>
    <row r="46" spans="1:25" ht="15.75" x14ac:dyDescent="0.25">
      <c r="B46" s="71" t="s">
        <v>1468</v>
      </c>
      <c r="C46" s="214" t="b">
        <v>0</v>
      </c>
      <c r="D46" s="251">
        <f t="shared" si="0"/>
        <v>0</v>
      </c>
      <c r="F46" s="230" t="s">
        <v>267</v>
      </c>
      <c r="G46" s="231">
        <v>46</v>
      </c>
      <c r="J46" s="250" t="s">
        <v>50</v>
      </c>
      <c r="K46" s="233" t="s">
        <v>51</v>
      </c>
      <c r="N46" s="252" t="s">
        <v>1249</v>
      </c>
    </row>
    <row r="47" spans="1:25" ht="15.75" x14ac:dyDescent="0.25">
      <c r="B47" s="137" t="s">
        <v>1355</v>
      </c>
      <c r="C47" s="253">
        <f>IF('Ввод исходных данных'!E17=CONCATENATE('Ввод исходных данных'!D14,'Ввод исходных данных'!D19,'Ввод исходных данных'!D17),0,1)</f>
        <v>1</v>
      </c>
      <c r="D47" s="71"/>
      <c r="F47" s="225" t="s">
        <v>1630</v>
      </c>
      <c r="G47" s="226">
        <v>47</v>
      </c>
      <c r="J47" s="250" t="s">
        <v>409</v>
      </c>
      <c r="K47" s="233" t="s">
        <v>411</v>
      </c>
    </row>
    <row r="48" spans="1:25" ht="15.75" x14ac:dyDescent="0.25">
      <c r="B48" s="71" t="s">
        <v>1517</v>
      </c>
      <c r="C48" s="214" t="b">
        <v>0</v>
      </c>
      <c r="D48" s="251">
        <f t="shared" si="0"/>
        <v>0</v>
      </c>
      <c r="F48" s="230" t="s">
        <v>269</v>
      </c>
      <c r="G48" s="231">
        <v>48</v>
      </c>
      <c r="J48" s="250" t="s">
        <v>409</v>
      </c>
      <c r="K48" s="233" t="s">
        <v>410</v>
      </c>
      <c r="Y48" s="229" t="s">
        <v>461</v>
      </c>
    </row>
    <row r="49" spans="2:25" ht="15.75" x14ac:dyDescent="0.25">
      <c r="B49" s="71" t="s">
        <v>1463</v>
      </c>
      <c r="C49" s="137">
        <f ca="1">IF(OR('Ввод исходных данных'!E323&lt;&gt;"Ошибок нет",AND(D42=1),AND('Список мероприятий'!$AB$34=0,'Система отопления'!F5=0,'Система отопления'!F6=0)),1,0)</f>
        <v>0</v>
      </c>
      <c r="D49" s="71" t="s">
        <v>1567</v>
      </c>
      <c r="F49" s="225" t="s">
        <v>275</v>
      </c>
      <c r="G49" s="226">
        <v>49</v>
      </c>
      <c r="J49" s="250" t="s">
        <v>293</v>
      </c>
      <c r="K49" s="233" t="s">
        <v>417</v>
      </c>
      <c r="N49" s="77"/>
      <c r="Y49" s="51" t="s">
        <v>1740</v>
      </c>
    </row>
    <row r="50" spans="2:25" ht="15.75" x14ac:dyDescent="0.25">
      <c r="B50" s="71" t="s">
        <v>1464</v>
      </c>
      <c r="C50" s="137">
        <f>IF(OR(SUM('Список мероприятий'!Z6:Z81)&gt;0),1,0)</f>
        <v>0</v>
      </c>
      <c r="D50" s="71" t="s">
        <v>1744</v>
      </c>
      <c r="F50" s="230" t="s">
        <v>2</v>
      </c>
      <c r="G50" s="231">
        <v>50</v>
      </c>
      <c r="J50" s="250" t="s">
        <v>293</v>
      </c>
      <c r="K50" s="233" t="s">
        <v>413</v>
      </c>
      <c r="N50" s="229"/>
      <c r="Y50" s="51" t="s">
        <v>1741</v>
      </c>
    </row>
    <row r="51" spans="2:25" ht="15.75" x14ac:dyDescent="0.25">
      <c r="B51" s="71" t="s">
        <v>1465</v>
      </c>
      <c r="C51" s="137">
        <f ca="1">IF(OR(C49&gt;0,C50&gt;0,C52&gt;0),1,0)</f>
        <v>0</v>
      </c>
      <c r="D51" s="71"/>
      <c r="F51" s="225" t="s">
        <v>68</v>
      </c>
      <c r="G51" s="226">
        <v>51</v>
      </c>
      <c r="J51" s="250" t="s">
        <v>293</v>
      </c>
      <c r="K51" s="242" t="s">
        <v>414</v>
      </c>
      <c r="Y51" s="51" t="s">
        <v>1742</v>
      </c>
    </row>
    <row r="52" spans="2:25" ht="15.75" x14ac:dyDescent="0.25">
      <c r="B52" s="249" t="s">
        <v>1565</v>
      </c>
      <c r="C52" s="51">
        <f>IF(OR(AND('Список мероприятий'!$AB$34=0,'Система отопления'!F5=0,'Система отопления'!F6=0),'Список мероприятий'!AD6&gt;0),1,0)</f>
        <v>0</v>
      </c>
      <c r="D52" s="51" t="s">
        <v>1566</v>
      </c>
      <c r="F52" s="230" t="s">
        <v>98</v>
      </c>
      <c r="G52" s="231">
        <v>52</v>
      </c>
      <c r="J52" s="250" t="s">
        <v>293</v>
      </c>
      <c r="K52" s="233" t="s">
        <v>415</v>
      </c>
    </row>
    <row r="53" spans="2:25" ht="15.75" x14ac:dyDescent="0.25">
      <c r="B53" s="51" t="s">
        <v>1743</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1942</v>
      </c>
    </row>
    <row r="55" spans="2:25" ht="17.25" x14ac:dyDescent="0.25">
      <c r="F55" s="225" t="s">
        <v>145</v>
      </c>
      <c r="G55" s="226">
        <v>55</v>
      </c>
      <c r="J55" s="250" t="s">
        <v>419</v>
      </c>
      <c r="K55" s="233" t="s">
        <v>418</v>
      </c>
      <c r="Y55" s="51" t="s">
        <v>1943</v>
      </c>
    </row>
    <row r="56" spans="2:25" ht="15.75" x14ac:dyDescent="0.25">
      <c r="B56" s="51" t="s">
        <v>2408</v>
      </c>
      <c r="C56" s="1568">
        <f>IF('Ввод исходных данных'!D94="",20,'Ввод исходных данных'!D94)</f>
        <v>20</v>
      </c>
      <c r="D56" s="51" t="s">
        <v>2409</v>
      </c>
      <c r="F56" s="230" t="s">
        <v>197</v>
      </c>
      <c r="G56" s="231">
        <v>56</v>
      </c>
      <c r="J56" s="250" t="s">
        <v>419</v>
      </c>
      <c r="K56" s="233" t="s">
        <v>421</v>
      </c>
    </row>
    <row r="57" spans="2:25" ht="15.75" x14ac:dyDescent="0.25">
      <c r="B57" s="51" t="s">
        <v>2410</v>
      </c>
      <c r="C57" s="1568">
        <f>IF('Ввод исходных данных'!D95="",E57,'Ввод исходных данных'!D95)</f>
        <v>16</v>
      </c>
      <c r="D57" s="51" t="s">
        <v>2411</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25" t="s">
        <v>288</v>
      </c>
      <c r="G57" s="226">
        <v>57</v>
      </c>
      <c r="J57" s="250" t="s">
        <v>419</v>
      </c>
      <c r="K57" s="233" t="s">
        <v>635</v>
      </c>
    </row>
    <row r="58" spans="2:25" ht="15.75" x14ac:dyDescent="0.25">
      <c r="B58" s="51" t="s">
        <v>2412</v>
      </c>
      <c r="C58" s="1568">
        <f>IF('Ввод исходных данных'!D96="",IF(списки!C34,10,2),'Ввод исходных данных'!D96)</f>
        <v>2</v>
      </c>
      <c r="D58" s="51" t="s">
        <v>2413</v>
      </c>
      <c r="F58" s="230" t="s">
        <v>336</v>
      </c>
      <c r="G58" s="231">
        <v>58</v>
      </c>
      <c r="J58" s="250" t="s">
        <v>419</v>
      </c>
      <c r="K58" s="233" t="s">
        <v>636</v>
      </c>
    </row>
    <row r="59" spans="2:25" ht="15.75" x14ac:dyDescent="0.25">
      <c r="B59" s="1576" t="str">
        <f>'Ввод исходных данных'!C118</f>
        <v>Температура горячей воды в местах водоразбора, ˚C</v>
      </c>
      <c r="C59" s="1262">
        <f>IF('Ввод исходных данных'!D118="",60,'Ввод исходных данных'!D118)</f>
        <v>60</v>
      </c>
      <c r="D59" s="51" t="s">
        <v>2414</v>
      </c>
      <c r="F59" s="225" t="s">
        <v>621</v>
      </c>
      <c r="G59" s="226">
        <v>59</v>
      </c>
      <c r="J59" s="250" t="s">
        <v>419</v>
      </c>
      <c r="K59" s="233" t="s">
        <v>420</v>
      </c>
    </row>
    <row r="60" spans="2:25" ht="15.75" x14ac:dyDescent="0.25">
      <c r="B60" s="51" t="s">
        <v>2415</v>
      </c>
      <c r="C60" s="1262">
        <f>IF('Ввод исходных данных'!D119="",5,'Ввод исходных данных'!D119)</f>
        <v>5</v>
      </c>
      <c r="D60" s="51" t="s">
        <v>2416</v>
      </c>
      <c r="F60" s="230" t="s">
        <v>381</v>
      </c>
      <c r="G60" s="231">
        <v>60</v>
      </c>
      <c r="J60" s="250" t="s">
        <v>422</v>
      </c>
      <c r="K60" s="242" t="s">
        <v>423</v>
      </c>
    </row>
    <row r="61" spans="2:25" ht="15.75" x14ac:dyDescent="0.25">
      <c r="B61" s="51" t="s">
        <v>2417</v>
      </c>
      <c r="C61" s="1262">
        <f>IF('Ввод исходных данных'!D120="",15,'Ввод исходных данных'!D120)</f>
        <v>15</v>
      </c>
      <c r="D61" s="51" t="s">
        <v>2418</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1569</v>
      </c>
      <c r="F62" s="230" t="s">
        <v>623</v>
      </c>
      <c r="G62" s="231">
        <v>62</v>
      </c>
      <c r="J62" s="250" t="s">
        <v>95</v>
      </c>
      <c r="K62" s="242" t="s">
        <v>97</v>
      </c>
    </row>
    <row r="63" spans="2:25" ht="15.75" x14ac:dyDescent="0.25">
      <c r="B63" s="51" t="s">
        <v>2419</v>
      </c>
      <c r="C63" s="1262">
        <f>IF('Ввод исходных данных'!D122="",8,'Ввод исходных данных'!D122)</f>
        <v>8</v>
      </c>
      <c r="D63" s="51" t="s">
        <v>2420</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1679</v>
      </c>
      <c r="C65" s="1573">
        <f>IF('Ввод исходных данных'!H151="",IF('Ввод исходных данных'!G151="нет",2920,400),'Ввод исходных данных'!H151)</f>
        <v>2920</v>
      </c>
      <c r="D65" s="51" t="s">
        <v>2139</v>
      </c>
      <c r="E65" s="51">
        <v>2920</v>
      </c>
      <c r="F65" s="225" t="s">
        <v>307</v>
      </c>
      <c r="G65" s="226">
        <v>65</v>
      </c>
      <c r="J65" s="250" t="s">
        <v>255</v>
      </c>
      <c r="K65" s="233" t="s">
        <v>637</v>
      </c>
      <c r="S65" s="229" t="s">
        <v>1253</v>
      </c>
    </row>
    <row r="66" spans="2:19" ht="15.75" x14ac:dyDescent="0.25">
      <c r="B66" s="51" t="s">
        <v>1680</v>
      </c>
      <c r="C66" s="1573">
        <f>IF('Ввод исходных данных'!H152="",IF('Ввод исходных данных'!G152="нет",4380,400),'Ввод исходных данных'!H152)</f>
        <v>400</v>
      </c>
      <c r="E66" s="51">
        <v>4380</v>
      </c>
      <c r="F66" s="230" t="s">
        <v>624</v>
      </c>
      <c r="G66" s="231">
        <v>66</v>
      </c>
      <c r="J66" s="250" t="s">
        <v>255</v>
      </c>
      <c r="K66" s="233" t="s">
        <v>431</v>
      </c>
      <c r="S66" s="71" t="s">
        <v>1240</v>
      </c>
    </row>
    <row r="67" spans="2:19" ht="15.75" x14ac:dyDescent="0.25">
      <c r="B67" s="51" t="s">
        <v>1681</v>
      </c>
      <c r="C67" s="1573">
        <f>IF('Ввод исходных данных'!H153="",IF('Ввод исходных данных'!G153="нет",4380,400),'Ввод исходных данных'!H153)</f>
        <v>4380</v>
      </c>
      <c r="D67" s="51" t="s">
        <v>2140</v>
      </c>
      <c r="E67" s="51">
        <v>4380</v>
      </c>
      <c r="F67" s="225" t="s">
        <v>249</v>
      </c>
      <c r="G67" s="226">
        <v>67</v>
      </c>
      <c r="J67" s="250" t="s">
        <v>255</v>
      </c>
      <c r="K67" s="233" t="s">
        <v>434</v>
      </c>
      <c r="S67" s="71" t="s">
        <v>1241</v>
      </c>
    </row>
    <row r="68" spans="2:19" ht="15.75" x14ac:dyDescent="0.25">
      <c r="B68" s="51" t="s">
        <v>1678</v>
      </c>
      <c r="C68" s="1573">
        <f>IF('Ввод исходных данных'!H154="",300,'Ввод исходных данных'!H154)</f>
        <v>300</v>
      </c>
      <c r="D68" s="51" t="s">
        <v>1944</v>
      </c>
      <c r="E68" s="51">
        <v>300</v>
      </c>
      <c r="F68" s="230" t="s">
        <v>296</v>
      </c>
      <c r="G68" s="231">
        <v>68</v>
      </c>
      <c r="J68" s="250" t="s">
        <v>255</v>
      </c>
      <c r="K68" s="233" t="s">
        <v>435</v>
      </c>
      <c r="S68" s="71" t="s">
        <v>1242</v>
      </c>
    </row>
    <row r="69" spans="2:19" ht="15.75" x14ac:dyDescent="0.25">
      <c r="B69" s="51" t="s">
        <v>1409</v>
      </c>
      <c r="C69" s="1573">
        <f>IF('Ввод исходных данных'!H155="",100,'Ввод исходных данных'!H155)</f>
        <v>100</v>
      </c>
      <c r="D69" s="51" t="s">
        <v>1945</v>
      </c>
      <c r="E69" s="51">
        <v>100</v>
      </c>
      <c r="F69" s="225" t="s">
        <v>320</v>
      </c>
      <c r="G69" s="226">
        <v>69</v>
      </c>
      <c r="J69" s="250" t="s">
        <v>255</v>
      </c>
      <c r="K69" s="233" t="s">
        <v>436</v>
      </c>
      <c r="S69" s="71" t="s">
        <v>1246</v>
      </c>
    </row>
    <row r="70" spans="2:19" ht="15.75" x14ac:dyDescent="0.25">
      <c r="B70" s="51" t="s">
        <v>1830</v>
      </c>
      <c r="C70" s="1573">
        <f>IF('Ввод исходных данных'!H156="",IF('Ввод исходных данных'!G156="нет",2920,400),'Ввод исходных данных'!H156)</f>
        <v>2920</v>
      </c>
      <c r="D70" s="51" t="s">
        <v>2139</v>
      </c>
      <c r="E70" s="51">
        <v>2920</v>
      </c>
      <c r="F70" s="230" t="s">
        <v>312</v>
      </c>
      <c r="G70" s="231">
        <v>70</v>
      </c>
      <c r="J70" s="250" t="s">
        <v>255</v>
      </c>
      <c r="K70" s="233" t="s">
        <v>437</v>
      </c>
      <c r="S70" s="71" t="s">
        <v>1247</v>
      </c>
    </row>
    <row r="71" spans="2:19" ht="15.75" x14ac:dyDescent="0.25">
      <c r="F71" s="225" t="s">
        <v>314</v>
      </c>
      <c r="G71" s="226">
        <v>71</v>
      </c>
      <c r="J71" s="250" t="s">
        <v>255</v>
      </c>
      <c r="K71" s="233" t="s">
        <v>438</v>
      </c>
      <c r="S71" s="71" t="s">
        <v>1243</v>
      </c>
    </row>
    <row r="72" spans="2:19" ht="15.75" x14ac:dyDescent="0.25">
      <c r="B72" s="51" t="s">
        <v>2421</v>
      </c>
      <c r="C72" s="1262">
        <f>IF('Ввод исходных данных'!D162="",2200,'Ввод исходных данных'!D162)</f>
        <v>2200</v>
      </c>
      <c r="D72" s="51" t="s">
        <v>1949</v>
      </c>
      <c r="F72" s="230" t="s">
        <v>326</v>
      </c>
      <c r="G72" s="231">
        <v>72</v>
      </c>
      <c r="J72" s="250" t="s">
        <v>255</v>
      </c>
      <c r="K72" s="233" t="s">
        <v>638</v>
      </c>
      <c r="S72" s="71" t="s">
        <v>1244</v>
      </c>
    </row>
    <row r="73" spans="2:19" ht="15.75" x14ac:dyDescent="0.25">
      <c r="B73" s="51" t="s">
        <v>2422</v>
      </c>
      <c r="C73" s="1262">
        <f ca="1">IF('Ввод исходных данных'!D168="",'Ввод исходных данных'!D209*24,'Ввод исходных данных'!D168)</f>
        <v>5688</v>
      </c>
      <c r="D73" s="51" t="s">
        <v>1707</v>
      </c>
      <c r="F73" s="225" t="s">
        <v>392</v>
      </c>
      <c r="G73" s="226">
        <v>73</v>
      </c>
      <c r="J73" s="250" t="s">
        <v>255</v>
      </c>
      <c r="K73" s="233" t="s">
        <v>439</v>
      </c>
      <c r="S73" s="71" t="s">
        <v>1245</v>
      </c>
    </row>
    <row r="74" spans="2:19" ht="15.75" x14ac:dyDescent="0.25">
      <c r="B74" s="51" t="s">
        <v>2423</v>
      </c>
      <c r="C74" s="1262">
        <f>IF('Ввод исходных данных'!D172="",(SUM('Ввод исходных данных'!J273:J284)-SUM('Ввод исходных данных'!D127:D132))*24,'Ввод исходных данных'!D172)</f>
        <v>8448</v>
      </c>
      <c r="D74" s="51" t="s">
        <v>2424</v>
      </c>
      <c r="F74" s="230" t="s">
        <v>55</v>
      </c>
      <c r="G74" s="231">
        <v>74</v>
      </c>
      <c r="J74" s="250" t="s">
        <v>255</v>
      </c>
      <c r="K74" s="233" t="s">
        <v>440</v>
      </c>
      <c r="S74" s="71" t="s">
        <v>2123</v>
      </c>
    </row>
    <row r="75" spans="2:19" ht="15.75" x14ac:dyDescent="0.25">
      <c r="B75" s="51" t="s">
        <v>2422</v>
      </c>
      <c r="C75" s="1262">
        <f>IF('Ввод исходных данных'!D176="",7000,'Ввод исходных данных'!D176)</f>
        <v>7000</v>
      </c>
      <c r="D75" s="51" t="s">
        <v>1772</v>
      </c>
      <c r="F75" s="225" t="s">
        <v>389</v>
      </c>
      <c r="G75" s="226">
        <v>75</v>
      </c>
      <c r="J75" s="250" t="s">
        <v>255</v>
      </c>
      <c r="K75" s="242" t="s">
        <v>441</v>
      </c>
      <c r="S75" s="71" t="s">
        <v>2124</v>
      </c>
    </row>
    <row r="76" spans="2:19" ht="15.75" x14ac:dyDescent="0.25">
      <c r="F76" s="230" t="s">
        <v>396</v>
      </c>
      <c r="G76" s="231">
        <v>76</v>
      </c>
      <c r="J76" s="250" t="s">
        <v>255</v>
      </c>
      <c r="K76" s="233" t="s">
        <v>432</v>
      </c>
      <c r="S76" s="71" t="s">
        <v>2122</v>
      </c>
    </row>
    <row r="77" spans="2:19" ht="15.75" x14ac:dyDescent="0.25">
      <c r="F77" s="254" t="s">
        <v>625</v>
      </c>
      <c r="G77" s="226">
        <v>77</v>
      </c>
      <c r="J77" s="250" t="s">
        <v>255</v>
      </c>
      <c r="K77" s="233" t="s">
        <v>433</v>
      </c>
      <c r="S77" s="71" t="s">
        <v>2125</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1552</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1630</v>
      </c>
      <c r="K257" s="233" t="s">
        <v>9</v>
      </c>
    </row>
    <row r="258" spans="10:11" ht="15.75" x14ac:dyDescent="0.25">
      <c r="J258" s="250" t="s">
        <v>1630</v>
      </c>
      <c r="K258" s="233" t="s">
        <v>10</v>
      </c>
    </row>
    <row r="259" spans="10:11" ht="15.75" x14ac:dyDescent="0.25">
      <c r="J259" s="250" t="s">
        <v>1630</v>
      </c>
      <c r="K259" s="233" t="s">
        <v>11</v>
      </c>
    </row>
    <row r="260" spans="10:11" ht="15.75" x14ac:dyDescent="0.25">
      <c r="J260" s="250" t="s">
        <v>1630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1551</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1518</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1519</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2">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P1" zoomScale="80" zoomScaleNormal="80" workbookViewId="0">
      <selection activeCell="AS33" sqref="AS33"/>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48" customFormat="1" ht="16.5" customHeight="1" x14ac:dyDescent="0.25">
      <c r="A1" s="1346" t="s">
        <v>1779</v>
      </c>
      <c r="B1" s="1347"/>
      <c r="C1" s="1347"/>
      <c r="D1" s="1347"/>
      <c r="E1" s="1347"/>
      <c r="F1" s="1347"/>
      <c r="G1" s="1347"/>
      <c r="H1" s="1347"/>
      <c r="I1" s="1347"/>
      <c r="J1" s="1347"/>
      <c r="K1" s="1347"/>
      <c r="L1" s="1347"/>
      <c r="M1" s="1347"/>
    </row>
    <row r="2" spans="1:61" ht="16.5" customHeight="1" x14ac:dyDescent="0.25">
      <c r="A2" s="1345"/>
      <c r="B2" s="1344" t="s">
        <v>1864</v>
      </c>
      <c r="C2" s="1344"/>
      <c r="D2" s="1344"/>
      <c r="E2" s="1344"/>
      <c r="F2" s="1344"/>
      <c r="G2" s="1344"/>
      <c r="H2" s="1344"/>
      <c r="I2" s="1344"/>
      <c r="J2" s="1344"/>
      <c r="K2" s="1344"/>
      <c r="L2" s="1344"/>
      <c r="M2" s="1344"/>
      <c r="X2" t="s">
        <v>1865</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82" t="s">
        <v>829</v>
      </c>
      <c r="B3" s="2582" t="s">
        <v>1780</v>
      </c>
      <c r="C3" s="2583" t="s">
        <v>1781</v>
      </c>
      <c r="D3" s="2583"/>
      <c r="E3" s="2583"/>
      <c r="F3" s="2583"/>
      <c r="G3" s="2583"/>
      <c r="H3" s="2583"/>
      <c r="I3" s="2583"/>
      <c r="J3" s="2583"/>
      <c r="K3" s="2583"/>
      <c r="L3" s="2583"/>
      <c r="M3" s="2583"/>
      <c r="N3" s="1350"/>
      <c r="O3" s="1350"/>
      <c r="P3" s="1350"/>
      <c r="Q3" s="1350"/>
      <c r="R3" s="1350"/>
      <c r="W3" s="2582" t="s">
        <v>829</v>
      </c>
      <c r="X3" s="2582" t="s">
        <v>1780</v>
      </c>
      <c r="Y3" s="2583" t="s">
        <v>1781</v>
      </c>
      <c r="Z3" s="2583"/>
      <c r="AA3" s="2583"/>
      <c r="AB3" s="2583"/>
      <c r="AC3" s="2583"/>
      <c r="AD3" s="2583"/>
      <c r="AE3" s="2583"/>
      <c r="AF3" s="2583"/>
      <c r="AG3" s="2583"/>
      <c r="AH3" s="2583"/>
      <c r="AI3" s="2583"/>
      <c r="AJ3" s="1350"/>
      <c r="AK3" s="1350"/>
      <c r="AL3" s="1350"/>
      <c r="AM3" s="1350"/>
      <c r="AN3" s="1350"/>
      <c r="AO3" s="13"/>
      <c r="AQ3" s="2582" t="s">
        <v>829</v>
      </c>
      <c r="AR3" s="2582" t="s">
        <v>1780</v>
      </c>
      <c r="AS3" s="2583" t="s">
        <v>1781</v>
      </c>
      <c r="AT3" s="2583"/>
      <c r="AU3" s="2583"/>
      <c r="AV3" s="2583"/>
      <c r="AW3" s="2583"/>
      <c r="AX3" s="2583"/>
      <c r="AY3" s="2583"/>
      <c r="AZ3" s="2583"/>
      <c r="BA3" s="2583"/>
      <c r="BB3" s="2583"/>
      <c r="BC3" s="2583"/>
      <c r="BD3" s="1350"/>
      <c r="BE3" s="1350"/>
      <c r="BF3" s="1350"/>
      <c r="BG3" s="1350"/>
      <c r="BH3" s="1350"/>
      <c r="BI3" s="13"/>
    </row>
    <row r="4" spans="1:61" ht="16.5" customHeight="1" x14ac:dyDescent="0.25">
      <c r="A4" s="2582"/>
      <c r="B4" s="2582"/>
      <c r="C4" s="1351">
        <v>2</v>
      </c>
      <c r="D4" s="1351">
        <v>3</v>
      </c>
      <c r="E4" s="1351">
        <v>4</v>
      </c>
      <c r="F4" s="1351">
        <v>5</v>
      </c>
      <c r="G4" s="1351">
        <v>6</v>
      </c>
      <c r="H4" s="1351">
        <v>7</v>
      </c>
      <c r="I4" s="1351">
        <v>8</v>
      </c>
      <c r="J4" s="1351">
        <v>9</v>
      </c>
      <c r="K4" s="1351">
        <v>10</v>
      </c>
      <c r="L4" s="1351">
        <v>11</v>
      </c>
      <c r="M4" s="1351">
        <v>12</v>
      </c>
      <c r="N4" s="1351">
        <v>13</v>
      </c>
      <c r="O4" s="1351">
        <v>14</v>
      </c>
      <c r="P4" s="1351">
        <v>15</v>
      </c>
      <c r="Q4" s="1351">
        <v>16</v>
      </c>
      <c r="R4" s="1351">
        <v>17</v>
      </c>
      <c r="S4" t="s">
        <v>1787</v>
      </c>
      <c r="W4" s="2582"/>
      <c r="X4" s="2582"/>
      <c r="Y4" s="1371">
        <v>2</v>
      </c>
      <c r="Z4" s="1371">
        <v>3</v>
      </c>
      <c r="AA4" s="1371">
        <v>4</v>
      </c>
      <c r="AB4" s="1371">
        <v>5</v>
      </c>
      <c r="AC4" s="1371">
        <v>6</v>
      </c>
      <c r="AD4" s="1371">
        <v>7</v>
      </c>
      <c r="AE4" s="1371">
        <v>8</v>
      </c>
      <c r="AF4" s="1371">
        <v>9</v>
      </c>
      <c r="AG4" s="1371">
        <v>10</v>
      </c>
      <c r="AH4" s="1371">
        <v>11</v>
      </c>
      <c r="AI4" s="1371">
        <v>12</v>
      </c>
      <c r="AJ4" s="1371">
        <v>13</v>
      </c>
      <c r="AK4" s="1371">
        <v>14</v>
      </c>
      <c r="AL4" s="1371">
        <v>15</v>
      </c>
      <c r="AM4" s="1371">
        <v>16</v>
      </c>
      <c r="AN4" s="1371">
        <v>17</v>
      </c>
      <c r="AO4" s="13" t="s">
        <v>1787</v>
      </c>
      <c r="AQ4" s="2582"/>
      <c r="AR4" s="2582"/>
      <c r="AS4" s="1373">
        <v>2</v>
      </c>
      <c r="AT4" s="1373">
        <v>3</v>
      </c>
      <c r="AU4" s="1373">
        <v>4</v>
      </c>
      <c r="AV4" s="1373">
        <v>5</v>
      </c>
      <c r="AW4" s="1373">
        <v>6</v>
      </c>
      <c r="AX4" s="1373">
        <v>7</v>
      </c>
      <c r="AY4" s="1373">
        <v>8</v>
      </c>
      <c r="AZ4" s="1373">
        <v>9</v>
      </c>
      <c r="BA4" s="1373">
        <v>10</v>
      </c>
      <c r="BB4" s="1373">
        <v>11</v>
      </c>
      <c r="BC4" s="1373">
        <v>12</v>
      </c>
      <c r="BD4" s="1373">
        <v>13</v>
      </c>
      <c r="BE4" s="1373">
        <v>14</v>
      </c>
      <c r="BF4" s="1373">
        <v>15</v>
      </c>
      <c r="BG4" s="1373">
        <v>16</v>
      </c>
      <c r="BH4" s="1373">
        <v>17</v>
      </c>
      <c r="BI4" s="13" t="s">
        <v>1787</v>
      </c>
    </row>
    <row r="5" spans="1:61" ht="16.5" customHeight="1" x14ac:dyDescent="0.25">
      <c r="A5" s="2584" t="s">
        <v>1782</v>
      </c>
      <c r="B5" s="1352">
        <v>2000</v>
      </c>
      <c r="C5" s="1352">
        <v>215</v>
      </c>
      <c r="D5" s="1352">
        <f>AVERAGE(C5,E5)</f>
        <v>210.5</v>
      </c>
      <c r="E5" s="1352">
        <v>206</v>
      </c>
      <c r="F5" s="1352">
        <f>AVERAGE(E5,G5)</f>
        <v>204.5</v>
      </c>
      <c r="G5" s="1352">
        <v>203</v>
      </c>
      <c r="H5" s="1352">
        <f t="shared" ref="H5:H11" si="0">AVERAGE(G5,I5)</f>
        <v>202</v>
      </c>
      <c r="I5" s="1352">
        <v>201</v>
      </c>
      <c r="J5" s="1352">
        <f t="shared" ref="J5:J11" si="1">AVERAGE(I5,K5)</f>
        <v>200</v>
      </c>
      <c r="K5" s="1352">
        <v>199</v>
      </c>
      <c r="L5" s="1352">
        <f t="shared" ref="L5:L11" si="2">AVERAGE(K5,M5)</f>
        <v>198.5</v>
      </c>
      <c r="M5" s="1352">
        <v>198</v>
      </c>
      <c r="N5" s="1350">
        <f>M5+(M5-L5)</f>
        <v>197.5</v>
      </c>
      <c r="O5" s="1350">
        <f t="shared" ref="O5:R11" si="3">N5+(N5-M5)</f>
        <v>197</v>
      </c>
      <c r="P5" s="1350">
        <f t="shared" si="3"/>
        <v>196.5</v>
      </c>
      <c r="Q5" s="1350">
        <f t="shared" si="3"/>
        <v>196</v>
      </c>
      <c r="R5" s="1350">
        <f t="shared" si="3"/>
        <v>195.5</v>
      </c>
      <c r="W5" s="2584" t="s">
        <v>1782</v>
      </c>
      <c r="X5" s="1352">
        <v>2000</v>
      </c>
      <c r="Y5" s="1352">
        <v>215</v>
      </c>
      <c r="Z5" s="1352">
        <f>AVERAGE(Y5,AA5)</f>
        <v>210.5</v>
      </c>
      <c r="AA5" s="1352">
        <v>206</v>
      </c>
      <c r="AB5" s="1352">
        <f>AVERAGE(AA5,AC5)</f>
        <v>204.5</v>
      </c>
      <c r="AC5" s="1352">
        <v>203</v>
      </c>
      <c r="AD5" s="1352">
        <f>AVERAGE(AC5,AE5)</f>
        <v>202</v>
      </c>
      <c r="AE5" s="1352">
        <v>201</v>
      </c>
      <c r="AF5" s="1352">
        <f>AVERAGE(AE5,AG5)</f>
        <v>200</v>
      </c>
      <c r="AG5" s="1352">
        <v>199</v>
      </c>
      <c r="AH5" s="1352">
        <f>AVERAGE(AG5,AI5)</f>
        <v>198.5</v>
      </c>
      <c r="AI5" s="1352">
        <v>198</v>
      </c>
      <c r="AJ5" s="1350">
        <f>AI5+(AI5-AH5)</f>
        <v>197.5</v>
      </c>
      <c r="AK5" s="1350">
        <f t="shared" ref="AK5:AK11" si="4">AJ5+(AJ5-AI5)</f>
        <v>197</v>
      </c>
      <c r="AL5" s="1350">
        <f t="shared" ref="AL5:AL11" si="5">AK5+(AK5-AJ5)</f>
        <v>196.5</v>
      </c>
      <c r="AM5" s="1350">
        <f t="shared" ref="AM5:AM11" si="6">AL5+(AL5-AK5)</f>
        <v>196</v>
      </c>
      <c r="AN5" s="1350">
        <f t="shared" ref="AN5:AN11" si="7">AM5+(AM5-AL5)</f>
        <v>195.5</v>
      </c>
      <c r="AO5" s="13"/>
      <c r="AP5" s="1358"/>
      <c r="AQ5" s="2584" t="s">
        <v>1782</v>
      </c>
      <c r="AR5" s="1352">
        <v>2000</v>
      </c>
      <c r="AS5" s="1352">
        <v>215</v>
      </c>
      <c r="AT5" s="1352">
        <f>AVERAGE(AS5,AU5)</f>
        <v>210.5</v>
      </c>
      <c r="AU5" s="1352">
        <v>206</v>
      </c>
      <c r="AV5" s="1352">
        <f>AVERAGE(AU5,AW5)</f>
        <v>204.5</v>
      </c>
      <c r="AW5" s="1352">
        <v>203</v>
      </c>
      <c r="AX5" s="1352">
        <f>AVERAGE(AW5,AY5)</f>
        <v>202</v>
      </c>
      <c r="AY5" s="1352">
        <v>201</v>
      </c>
      <c r="AZ5" s="1352">
        <f>AVERAGE(AY5,BA5)</f>
        <v>200</v>
      </c>
      <c r="BA5" s="1352">
        <v>199</v>
      </c>
      <c r="BB5" s="1352">
        <f>AVERAGE(BA5,BC5)</f>
        <v>198.5</v>
      </c>
      <c r="BC5" s="1352">
        <v>198</v>
      </c>
      <c r="BD5" s="1350">
        <f>BC5+(BC5-BB5)</f>
        <v>197.5</v>
      </c>
      <c r="BE5" s="1350">
        <f t="shared" ref="BE5:BE11" si="8">BD5+(BD5-BC5)</f>
        <v>197</v>
      </c>
      <c r="BF5" s="1350">
        <f t="shared" ref="BF5:BF11" si="9">BE5+(BE5-BD5)</f>
        <v>196.5</v>
      </c>
      <c r="BG5" s="1350">
        <f t="shared" ref="BG5:BG11" si="10">BF5+(BF5-BE5)</f>
        <v>196</v>
      </c>
      <c r="BH5" s="1350">
        <f t="shared" ref="BH5:BH11" si="11">BG5+(BG5-BF5)</f>
        <v>195.5</v>
      </c>
      <c r="BI5" s="13"/>
    </row>
    <row r="6" spans="1:61" ht="16.5" customHeight="1" x14ac:dyDescent="0.25">
      <c r="A6" s="2584"/>
      <c r="B6" s="1352">
        <v>3000</v>
      </c>
      <c r="C6" s="1352">
        <v>228</v>
      </c>
      <c r="D6" s="1352">
        <f t="shared" ref="D6:F11" si="12">AVERAGE(C6,E6)</f>
        <v>222</v>
      </c>
      <c r="E6" s="1352">
        <v>216</v>
      </c>
      <c r="F6" s="1352">
        <f t="shared" si="12"/>
        <v>214</v>
      </c>
      <c r="G6" s="1352">
        <v>212</v>
      </c>
      <c r="H6" s="1352">
        <f t="shared" si="0"/>
        <v>210</v>
      </c>
      <c r="I6" s="1352">
        <v>208</v>
      </c>
      <c r="J6" s="1352">
        <f t="shared" si="1"/>
        <v>206.5</v>
      </c>
      <c r="K6" s="1352">
        <v>205</v>
      </c>
      <c r="L6" s="1352">
        <f t="shared" si="2"/>
        <v>204</v>
      </c>
      <c r="M6" s="1352">
        <v>203</v>
      </c>
      <c r="N6" s="1350">
        <f t="shared" ref="N6:N11" si="13">M6+(M6-L6)</f>
        <v>202</v>
      </c>
      <c r="O6" s="1350">
        <f t="shared" si="3"/>
        <v>201</v>
      </c>
      <c r="P6" s="1350">
        <f t="shared" si="3"/>
        <v>200</v>
      </c>
      <c r="Q6" s="1350">
        <f t="shared" si="3"/>
        <v>199</v>
      </c>
      <c r="R6" s="1350">
        <f t="shared" si="3"/>
        <v>198</v>
      </c>
      <c r="W6" s="2584"/>
      <c r="X6" s="1352">
        <v>3000</v>
      </c>
      <c r="Y6" s="1352">
        <v>228</v>
      </c>
      <c r="Z6" s="1352">
        <f t="shared" ref="Z6:Z11" si="14">AVERAGE(Y6,AA6)</f>
        <v>222</v>
      </c>
      <c r="AA6" s="1352">
        <v>216</v>
      </c>
      <c r="AB6" s="1352">
        <f t="shared" ref="AB6:AB11" si="15">AVERAGE(AA6,AC6)</f>
        <v>214</v>
      </c>
      <c r="AC6" s="1352">
        <v>212</v>
      </c>
      <c r="AD6" s="1352">
        <f t="shared" ref="AD6:AD11" si="16">AVERAGE(AC6,AE6)</f>
        <v>210</v>
      </c>
      <c r="AE6" s="1352">
        <v>208</v>
      </c>
      <c r="AF6" s="1352">
        <f t="shared" ref="AF6:AF11" si="17">AVERAGE(AE6,AG6)</f>
        <v>206.5</v>
      </c>
      <c r="AG6" s="1352">
        <v>205</v>
      </c>
      <c r="AH6" s="1352">
        <f t="shared" ref="AH6:AH11" si="18">AVERAGE(AG6,AI6)</f>
        <v>204</v>
      </c>
      <c r="AI6" s="1352">
        <v>203</v>
      </c>
      <c r="AJ6" s="1350">
        <f t="shared" ref="AJ6:AJ11" si="19">AI6+(AI6-AH6)</f>
        <v>202</v>
      </c>
      <c r="AK6" s="1350">
        <f t="shared" si="4"/>
        <v>201</v>
      </c>
      <c r="AL6" s="1350">
        <f t="shared" si="5"/>
        <v>200</v>
      </c>
      <c r="AM6" s="1350">
        <f t="shared" si="6"/>
        <v>199</v>
      </c>
      <c r="AN6" s="1350">
        <f t="shared" si="7"/>
        <v>198</v>
      </c>
      <c r="AO6" s="13"/>
      <c r="AP6" s="1358"/>
      <c r="AQ6" s="2584"/>
      <c r="AR6" s="1352">
        <v>3000</v>
      </c>
      <c r="AS6" s="1352">
        <v>228</v>
      </c>
      <c r="AT6" s="1352">
        <f t="shared" ref="AT6:AT11" si="20">AVERAGE(AS6,AU6)</f>
        <v>222</v>
      </c>
      <c r="AU6" s="1352">
        <v>216</v>
      </c>
      <c r="AV6" s="1352">
        <f t="shared" ref="AV6:AV11" si="21">AVERAGE(AU6,AW6)</f>
        <v>214</v>
      </c>
      <c r="AW6" s="1352">
        <v>212</v>
      </c>
      <c r="AX6" s="1352">
        <f t="shared" ref="AX6:AX11" si="22">AVERAGE(AW6,AY6)</f>
        <v>210</v>
      </c>
      <c r="AY6" s="1352">
        <v>208</v>
      </c>
      <c r="AZ6" s="1352">
        <f t="shared" ref="AZ6:AZ11" si="23">AVERAGE(AY6,BA6)</f>
        <v>206.5</v>
      </c>
      <c r="BA6" s="1352">
        <v>205</v>
      </c>
      <c r="BB6" s="1352">
        <f t="shared" ref="BB6:BB11" si="24">AVERAGE(BA6,BC6)</f>
        <v>204</v>
      </c>
      <c r="BC6" s="1352">
        <v>203</v>
      </c>
      <c r="BD6" s="1350">
        <f t="shared" ref="BD6:BD11" si="25">BC6+(BC6-BB6)</f>
        <v>202</v>
      </c>
      <c r="BE6" s="1350">
        <f t="shared" si="8"/>
        <v>201</v>
      </c>
      <c r="BF6" s="1350">
        <f t="shared" si="9"/>
        <v>200</v>
      </c>
      <c r="BG6" s="1350">
        <f t="shared" si="10"/>
        <v>199</v>
      </c>
      <c r="BH6" s="1350">
        <f t="shared" si="11"/>
        <v>198</v>
      </c>
      <c r="BI6" s="13"/>
    </row>
    <row r="7" spans="1:61" ht="16.5" customHeight="1" x14ac:dyDescent="0.25">
      <c r="A7" s="2584"/>
      <c r="B7" s="1352">
        <v>4000</v>
      </c>
      <c r="C7" s="1352">
        <v>256</v>
      </c>
      <c r="D7" s="1352">
        <f t="shared" si="12"/>
        <v>247.5</v>
      </c>
      <c r="E7" s="1352">
        <v>239</v>
      </c>
      <c r="F7" s="1352">
        <f t="shared" si="12"/>
        <v>236.5</v>
      </c>
      <c r="G7" s="1352">
        <v>234</v>
      </c>
      <c r="H7" s="1352">
        <f t="shared" si="0"/>
        <v>231.5</v>
      </c>
      <c r="I7" s="1352">
        <v>229</v>
      </c>
      <c r="J7" s="1352">
        <f t="shared" si="1"/>
        <v>227</v>
      </c>
      <c r="K7" s="1352">
        <v>225</v>
      </c>
      <c r="L7" s="1352">
        <f t="shared" si="2"/>
        <v>224</v>
      </c>
      <c r="M7" s="1352">
        <v>223</v>
      </c>
      <c r="N7" s="1350">
        <f t="shared" si="13"/>
        <v>222</v>
      </c>
      <c r="O7" s="1350">
        <f t="shared" si="3"/>
        <v>221</v>
      </c>
      <c r="P7" s="1350">
        <f t="shared" si="3"/>
        <v>220</v>
      </c>
      <c r="Q7" s="1350">
        <f t="shared" si="3"/>
        <v>219</v>
      </c>
      <c r="R7" s="1350">
        <f t="shared" si="3"/>
        <v>218</v>
      </c>
      <c r="W7" s="2584"/>
      <c r="X7" s="1352">
        <v>4000</v>
      </c>
      <c r="Y7" s="1352">
        <v>256</v>
      </c>
      <c r="Z7" s="1352">
        <f t="shared" si="14"/>
        <v>247.5</v>
      </c>
      <c r="AA7" s="1352">
        <v>239</v>
      </c>
      <c r="AB7" s="1352">
        <f t="shared" si="15"/>
        <v>236.5</v>
      </c>
      <c r="AC7" s="1352">
        <v>234</v>
      </c>
      <c r="AD7" s="1352">
        <f t="shared" si="16"/>
        <v>231.5</v>
      </c>
      <c r="AE7" s="1352">
        <v>229</v>
      </c>
      <c r="AF7" s="1352">
        <f t="shared" si="17"/>
        <v>227</v>
      </c>
      <c r="AG7" s="1352">
        <v>225</v>
      </c>
      <c r="AH7" s="1352">
        <f t="shared" si="18"/>
        <v>224</v>
      </c>
      <c r="AI7" s="1352">
        <v>223</v>
      </c>
      <c r="AJ7" s="1350">
        <f t="shared" si="19"/>
        <v>222</v>
      </c>
      <c r="AK7" s="1350">
        <f t="shared" si="4"/>
        <v>221</v>
      </c>
      <c r="AL7" s="1350">
        <f t="shared" si="5"/>
        <v>220</v>
      </c>
      <c r="AM7" s="1350">
        <f t="shared" si="6"/>
        <v>219</v>
      </c>
      <c r="AN7" s="1350">
        <f t="shared" si="7"/>
        <v>218</v>
      </c>
      <c r="AO7" s="13"/>
      <c r="AP7" s="1358"/>
      <c r="AQ7" s="2584"/>
      <c r="AR7" s="1352">
        <v>4000</v>
      </c>
      <c r="AS7" s="1352">
        <v>256</v>
      </c>
      <c r="AT7" s="1352">
        <f t="shared" si="20"/>
        <v>247.5</v>
      </c>
      <c r="AU7" s="1352">
        <v>239</v>
      </c>
      <c r="AV7" s="1352">
        <f t="shared" si="21"/>
        <v>236.5</v>
      </c>
      <c r="AW7" s="1352">
        <v>234</v>
      </c>
      <c r="AX7" s="1352">
        <f t="shared" si="22"/>
        <v>231.5</v>
      </c>
      <c r="AY7" s="1352">
        <v>229</v>
      </c>
      <c r="AZ7" s="1352">
        <f t="shared" si="23"/>
        <v>227</v>
      </c>
      <c r="BA7" s="1352">
        <v>225</v>
      </c>
      <c r="BB7" s="1352">
        <f t="shared" si="24"/>
        <v>224</v>
      </c>
      <c r="BC7" s="1352">
        <v>223</v>
      </c>
      <c r="BD7" s="1350">
        <f t="shared" si="25"/>
        <v>222</v>
      </c>
      <c r="BE7" s="1350">
        <f t="shared" si="8"/>
        <v>221</v>
      </c>
      <c r="BF7" s="1350">
        <f t="shared" si="9"/>
        <v>220</v>
      </c>
      <c r="BG7" s="1350">
        <f t="shared" si="10"/>
        <v>219</v>
      </c>
      <c r="BH7" s="1350">
        <f t="shared" si="11"/>
        <v>218</v>
      </c>
      <c r="BI7" s="13"/>
    </row>
    <row r="8" spans="1:61" ht="16.5" customHeight="1" x14ac:dyDescent="0.25">
      <c r="A8" s="2584"/>
      <c r="B8" s="1352">
        <v>5000</v>
      </c>
      <c r="C8" s="1352">
        <v>284</v>
      </c>
      <c r="D8" s="1352">
        <f t="shared" si="12"/>
        <v>273.5</v>
      </c>
      <c r="E8" s="1352">
        <v>263</v>
      </c>
      <c r="F8" s="1352">
        <f t="shared" si="12"/>
        <v>259.5</v>
      </c>
      <c r="G8" s="1352">
        <v>256</v>
      </c>
      <c r="H8" s="1352">
        <f t="shared" si="0"/>
        <v>253.5</v>
      </c>
      <c r="I8" s="1352">
        <v>251</v>
      </c>
      <c r="J8" s="1352">
        <f t="shared" si="1"/>
        <v>248</v>
      </c>
      <c r="K8" s="1352">
        <v>245</v>
      </c>
      <c r="L8" s="1352">
        <f t="shared" si="2"/>
        <v>243.5</v>
      </c>
      <c r="M8" s="1352">
        <v>242</v>
      </c>
      <c r="N8" s="1350">
        <f t="shared" si="13"/>
        <v>240.5</v>
      </c>
      <c r="O8" s="1350">
        <f t="shared" si="3"/>
        <v>239</v>
      </c>
      <c r="P8" s="1350">
        <f t="shared" si="3"/>
        <v>237.5</v>
      </c>
      <c r="Q8" s="1350">
        <f t="shared" si="3"/>
        <v>236</v>
      </c>
      <c r="R8" s="1350">
        <f t="shared" si="3"/>
        <v>234.5</v>
      </c>
      <c r="W8" s="2584"/>
      <c r="X8" s="1352">
        <v>5000</v>
      </c>
      <c r="Y8" s="1352">
        <v>284</v>
      </c>
      <c r="Z8" s="1352">
        <f t="shared" si="14"/>
        <v>273.5</v>
      </c>
      <c r="AA8" s="1352">
        <v>263</v>
      </c>
      <c r="AB8" s="1352">
        <f t="shared" si="15"/>
        <v>259.5</v>
      </c>
      <c r="AC8" s="1352">
        <v>256</v>
      </c>
      <c r="AD8" s="1352">
        <f t="shared" si="16"/>
        <v>253.5</v>
      </c>
      <c r="AE8" s="1352">
        <v>251</v>
      </c>
      <c r="AF8" s="1352">
        <f t="shared" si="17"/>
        <v>248</v>
      </c>
      <c r="AG8" s="1352">
        <v>245</v>
      </c>
      <c r="AH8" s="1352">
        <f t="shared" si="18"/>
        <v>243.5</v>
      </c>
      <c r="AI8" s="1352">
        <v>242</v>
      </c>
      <c r="AJ8" s="1350">
        <f t="shared" si="19"/>
        <v>240.5</v>
      </c>
      <c r="AK8" s="1350">
        <f t="shared" si="4"/>
        <v>239</v>
      </c>
      <c r="AL8" s="1350">
        <f t="shared" si="5"/>
        <v>237.5</v>
      </c>
      <c r="AM8" s="1350">
        <f t="shared" si="6"/>
        <v>236</v>
      </c>
      <c r="AN8" s="1350">
        <f t="shared" si="7"/>
        <v>234.5</v>
      </c>
      <c r="AO8" s="13"/>
      <c r="AP8" s="1358"/>
      <c r="AQ8" s="2584"/>
      <c r="AR8" s="1352">
        <v>5000</v>
      </c>
      <c r="AS8" s="1352">
        <v>284</v>
      </c>
      <c r="AT8" s="1352">
        <f t="shared" si="20"/>
        <v>273.5</v>
      </c>
      <c r="AU8" s="1352">
        <v>263</v>
      </c>
      <c r="AV8" s="1352">
        <f t="shared" si="21"/>
        <v>259.5</v>
      </c>
      <c r="AW8" s="1352">
        <v>256</v>
      </c>
      <c r="AX8" s="1352">
        <f t="shared" si="22"/>
        <v>253.5</v>
      </c>
      <c r="AY8" s="1352">
        <v>251</v>
      </c>
      <c r="AZ8" s="1352">
        <f t="shared" si="23"/>
        <v>248</v>
      </c>
      <c r="BA8" s="1352">
        <v>245</v>
      </c>
      <c r="BB8" s="1352">
        <f t="shared" si="24"/>
        <v>243.5</v>
      </c>
      <c r="BC8" s="1352">
        <v>242</v>
      </c>
      <c r="BD8" s="1350">
        <f t="shared" si="25"/>
        <v>240.5</v>
      </c>
      <c r="BE8" s="1350">
        <f t="shared" si="8"/>
        <v>239</v>
      </c>
      <c r="BF8" s="1350">
        <f t="shared" si="9"/>
        <v>237.5</v>
      </c>
      <c r="BG8" s="1350">
        <f t="shared" si="10"/>
        <v>236</v>
      </c>
      <c r="BH8" s="1350">
        <f t="shared" si="11"/>
        <v>234.5</v>
      </c>
      <c r="BI8" s="13"/>
    </row>
    <row r="9" spans="1:61" ht="16.5" customHeight="1" x14ac:dyDescent="0.25">
      <c r="A9" s="2584"/>
      <c r="B9" s="1352">
        <v>6000</v>
      </c>
      <c r="C9" s="1352">
        <v>312</v>
      </c>
      <c r="D9" s="1352">
        <f t="shared" si="12"/>
        <v>299.5</v>
      </c>
      <c r="E9" s="1352">
        <v>287</v>
      </c>
      <c r="F9" s="1352">
        <f t="shared" si="12"/>
        <v>282.5</v>
      </c>
      <c r="G9" s="1352">
        <v>278</v>
      </c>
      <c r="H9" s="1352">
        <f t="shared" si="0"/>
        <v>275</v>
      </c>
      <c r="I9" s="1352">
        <v>272</v>
      </c>
      <c r="J9" s="1352">
        <f t="shared" si="1"/>
        <v>268.5</v>
      </c>
      <c r="K9" s="1352">
        <v>265</v>
      </c>
      <c r="L9" s="1352">
        <f t="shared" si="2"/>
        <v>263.5</v>
      </c>
      <c r="M9" s="1352">
        <v>262</v>
      </c>
      <c r="N9" s="1350">
        <f t="shared" si="13"/>
        <v>260.5</v>
      </c>
      <c r="O9" s="1350">
        <f t="shared" si="3"/>
        <v>259</v>
      </c>
      <c r="P9" s="1350">
        <f t="shared" si="3"/>
        <v>257.5</v>
      </c>
      <c r="Q9" s="1350">
        <f t="shared" si="3"/>
        <v>256</v>
      </c>
      <c r="R9" s="1350">
        <f t="shared" si="3"/>
        <v>254.5</v>
      </c>
      <c r="W9" s="2584"/>
      <c r="X9" s="1352">
        <v>6000</v>
      </c>
      <c r="Y9" s="1352">
        <v>312</v>
      </c>
      <c r="Z9" s="1352">
        <f t="shared" si="14"/>
        <v>299.5</v>
      </c>
      <c r="AA9" s="1352">
        <v>287</v>
      </c>
      <c r="AB9" s="1352">
        <f t="shared" si="15"/>
        <v>282.5</v>
      </c>
      <c r="AC9" s="1352">
        <v>278</v>
      </c>
      <c r="AD9" s="1352">
        <f t="shared" si="16"/>
        <v>275</v>
      </c>
      <c r="AE9" s="1352">
        <v>272</v>
      </c>
      <c r="AF9" s="1352">
        <f t="shared" si="17"/>
        <v>268.5</v>
      </c>
      <c r="AG9" s="1352">
        <v>265</v>
      </c>
      <c r="AH9" s="1352">
        <f t="shared" si="18"/>
        <v>263.5</v>
      </c>
      <c r="AI9" s="1352">
        <v>262</v>
      </c>
      <c r="AJ9" s="1350">
        <f t="shared" si="19"/>
        <v>260.5</v>
      </c>
      <c r="AK9" s="1350">
        <f t="shared" si="4"/>
        <v>259</v>
      </c>
      <c r="AL9" s="1350">
        <f t="shared" si="5"/>
        <v>257.5</v>
      </c>
      <c r="AM9" s="1350">
        <f t="shared" si="6"/>
        <v>256</v>
      </c>
      <c r="AN9" s="1350">
        <f t="shared" si="7"/>
        <v>254.5</v>
      </c>
      <c r="AO9" s="13"/>
      <c r="AP9" s="1358"/>
      <c r="AQ9" s="2584"/>
      <c r="AR9" s="1352">
        <v>6000</v>
      </c>
      <c r="AS9" s="1352">
        <v>312</v>
      </c>
      <c r="AT9" s="1352">
        <f t="shared" si="20"/>
        <v>299.5</v>
      </c>
      <c r="AU9" s="1352">
        <v>287</v>
      </c>
      <c r="AV9" s="1352">
        <f t="shared" si="21"/>
        <v>282.5</v>
      </c>
      <c r="AW9" s="1352">
        <v>278</v>
      </c>
      <c r="AX9" s="1352">
        <f t="shared" si="22"/>
        <v>275</v>
      </c>
      <c r="AY9" s="1352">
        <v>272</v>
      </c>
      <c r="AZ9" s="1352">
        <f t="shared" si="23"/>
        <v>268.5</v>
      </c>
      <c r="BA9" s="1352">
        <v>265</v>
      </c>
      <c r="BB9" s="1352">
        <f t="shared" si="24"/>
        <v>263.5</v>
      </c>
      <c r="BC9" s="1352">
        <v>262</v>
      </c>
      <c r="BD9" s="1350">
        <f t="shared" si="25"/>
        <v>260.5</v>
      </c>
      <c r="BE9" s="1350">
        <f t="shared" si="8"/>
        <v>259</v>
      </c>
      <c r="BF9" s="1350">
        <f t="shared" si="9"/>
        <v>257.5</v>
      </c>
      <c r="BG9" s="1350">
        <f t="shared" si="10"/>
        <v>256</v>
      </c>
      <c r="BH9" s="1350">
        <f t="shared" si="11"/>
        <v>254.5</v>
      </c>
      <c r="BI9" s="13"/>
    </row>
    <row r="10" spans="1:61" ht="16.5" customHeight="1" x14ac:dyDescent="0.25">
      <c r="A10" s="2584"/>
      <c r="B10" s="1352">
        <v>8000</v>
      </c>
      <c r="C10" s="1352">
        <v>370</v>
      </c>
      <c r="D10" s="1352">
        <f t="shared" si="12"/>
        <v>353.5</v>
      </c>
      <c r="E10" s="1352">
        <v>337</v>
      </c>
      <c r="F10" s="1352">
        <f t="shared" si="12"/>
        <v>331.5</v>
      </c>
      <c r="G10" s="1352">
        <v>326</v>
      </c>
      <c r="H10" s="1352">
        <f t="shared" si="0"/>
        <v>321.5</v>
      </c>
      <c r="I10" s="1352">
        <v>317</v>
      </c>
      <c r="J10" s="1352">
        <f t="shared" si="1"/>
        <v>312.5</v>
      </c>
      <c r="K10" s="1352">
        <v>308</v>
      </c>
      <c r="L10" s="1352">
        <f t="shared" si="2"/>
        <v>306</v>
      </c>
      <c r="M10" s="1352">
        <v>304</v>
      </c>
      <c r="N10" s="1350">
        <f t="shared" si="13"/>
        <v>302</v>
      </c>
      <c r="O10" s="1350">
        <f t="shared" si="3"/>
        <v>300</v>
      </c>
      <c r="P10" s="1350">
        <f t="shared" si="3"/>
        <v>298</v>
      </c>
      <c r="Q10" s="1350">
        <f t="shared" si="3"/>
        <v>296</v>
      </c>
      <c r="R10" s="1350">
        <f t="shared" si="3"/>
        <v>294</v>
      </c>
      <c r="W10" s="2584"/>
      <c r="X10" s="1352">
        <v>8000</v>
      </c>
      <c r="Y10" s="1352">
        <v>370</v>
      </c>
      <c r="Z10" s="1352">
        <f t="shared" si="14"/>
        <v>353.5</v>
      </c>
      <c r="AA10" s="1352">
        <v>337</v>
      </c>
      <c r="AB10" s="1352">
        <f t="shared" si="15"/>
        <v>331.5</v>
      </c>
      <c r="AC10" s="1352">
        <v>326</v>
      </c>
      <c r="AD10" s="1352">
        <f t="shared" si="16"/>
        <v>321.5</v>
      </c>
      <c r="AE10" s="1352">
        <v>317</v>
      </c>
      <c r="AF10" s="1352">
        <f t="shared" si="17"/>
        <v>312.5</v>
      </c>
      <c r="AG10" s="1352">
        <v>308</v>
      </c>
      <c r="AH10" s="1352">
        <f t="shared" si="18"/>
        <v>306</v>
      </c>
      <c r="AI10" s="1352">
        <v>304</v>
      </c>
      <c r="AJ10" s="1350">
        <f t="shared" si="19"/>
        <v>302</v>
      </c>
      <c r="AK10" s="1350">
        <f t="shared" si="4"/>
        <v>300</v>
      </c>
      <c r="AL10" s="1350">
        <f t="shared" si="5"/>
        <v>298</v>
      </c>
      <c r="AM10" s="1350">
        <f t="shared" si="6"/>
        <v>296</v>
      </c>
      <c r="AN10" s="1350">
        <f t="shared" si="7"/>
        <v>294</v>
      </c>
      <c r="AO10" s="13"/>
      <c r="AP10" s="1358"/>
      <c r="AQ10" s="2584"/>
      <c r="AR10" s="1352">
        <v>8000</v>
      </c>
      <c r="AS10" s="1352">
        <v>370</v>
      </c>
      <c r="AT10" s="1352">
        <f t="shared" si="20"/>
        <v>353.5</v>
      </c>
      <c r="AU10" s="1352">
        <v>337</v>
      </c>
      <c r="AV10" s="1352">
        <f t="shared" si="21"/>
        <v>331.5</v>
      </c>
      <c r="AW10" s="1352">
        <v>326</v>
      </c>
      <c r="AX10" s="1352">
        <f t="shared" si="22"/>
        <v>321.5</v>
      </c>
      <c r="AY10" s="1352">
        <v>317</v>
      </c>
      <c r="AZ10" s="1352">
        <f t="shared" si="23"/>
        <v>312.5</v>
      </c>
      <c r="BA10" s="1352">
        <v>308</v>
      </c>
      <c r="BB10" s="1352">
        <f t="shared" si="24"/>
        <v>306</v>
      </c>
      <c r="BC10" s="1352">
        <v>304</v>
      </c>
      <c r="BD10" s="1350">
        <f t="shared" si="25"/>
        <v>302</v>
      </c>
      <c r="BE10" s="1350">
        <f t="shared" si="8"/>
        <v>300</v>
      </c>
      <c r="BF10" s="1350">
        <f t="shared" si="9"/>
        <v>298</v>
      </c>
      <c r="BG10" s="1350">
        <f t="shared" si="10"/>
        <v>296</v>
      </c>
      <c r="BH10" s="1350">
        <f t="shared" si="11"/>
        <v>294</v>
      </c>
      <c r="BI10" s="13"/>
    </row>
    <row r="11" spans="1:61" ht="18.75" customHeight="1" x14ac:dyDescent="0.25">
      <c r="A11" s="2584"/>
      <c r="B11" s="1352">
        <v>10000</v>
      </c>
      <c r="C11" s="1352">
        <v>426</v>
      </c>
      <c r="D11" s="1352">
        <f t="shared" si="12"/>
        <v>405</v>
      </c>
      <c r="E11" s="1352">
        <v>384</v>
      </c>
      <c r="F11" s="1352">
        <f t="shared" si="12"/>
        <v>377</v>
      </c>
      <c r="G11" s="1352">
        <v>370</v>
      </c>
      <c r="H11" s="1352">
        <f t="shared" si="0"/>
        <v>364.5</v>
      </c>
      <c r="I11" s="1352">
        <v>359</v>
      </c>
      <c r="J11" s="1352">
        <f t="shared" si="1"/>
        <v>353.5</v>
      </c>
      <c r="K11" s="1352">
        <v>348</v>
      </c>
      <c r="L11" s="1352">
        <f t="shared" si="2"/>
        <v>345</v>
      </c>
      <c r="M11" s="1352">
        <v>342</v>
      </c>
      <c r="N11" s="1350">
        <f t="shared" si="13"/>
        <v>339</v>
      </c>
      <c r="O11" s="1350">
        <f t="shared" si="3"/>
        <v>336</v>
      </c>
      <c r="P11" s="1350">
        <f t="shared" si="3"/>
        <v>333</v>
      </c>
      <c r="Q11" s="1350">
        <f t="shared" si="3"/>
        <v>330</v>
      </c>
      <c r="R11" s="1350">
        <f t="shared" si="3"/>
        <v>327</v>
      </c>
      <c r="U11" s="13"/>
      <c r="W11" s="2584"/>
      <c r="X11" s="1352">
        <v>10000</v>
      </c>
      <c r="Y11" s="1352">
        <v>426</v>
      </c>
      <c r="Z11" s="1352">
        <f t="shared" si="14"/>
        <v>405</v>
      </c>
      <c r="AA11" s="1352">
        <v>384</v>
      </c>
      <c r="AB11" s="1352">
        <f t="shared" si="15"/>
        <v>377</v>
      </c>
      <c r="AC11" s="1352">
        <v>370</v>
      </c>
      <c r="AD11" s="1352">
        <f t="shared" si="16"/>
        <v>364.5</v>
      </c>
      <c r="AE11" s="1352">
        <v>359</v>
      </c>
      <c r="AF11" s="1352">
        <f t="shared" si="17"/>
        <v>353.5</v>
      </c>
      <c r="AG11" s="1352">
        <v>348</v>
      </c>
      <c r="AH11" s="1352">
        <f t="shared" si="18"/>
        <v>345</v>
      </c>
      <c r="AI11" s="1352">
        <v>342</v>
      </c>
      <c r="AJ11" s="1350">
        <f t="shared" si="19"/>
        <v>339</v>
      </c>
      <c r="AK11" s="1350">
        <f t="shared" si="4"/>
        <v>336</v>
      </c>
      <c r="AL11" s="1350">
        <f t="shared" si="5"/>
        <v>333</v>
      </c>
      <c r="AM11" s="1350">
        <f t="shared" si="6"/>
        <v>330</v>
      </c>
      <c r="AN11" s="1350">
        <f t="shared" si="7"/>
        <v>327</v>
      </c>
      <c r="AO11" s="13"/>
      <c r="AP11" s="1358"/>
      <c r="AQ11" s="2584"/>
      <c r="AR11" s="1352">
        <v>10000</v>
      </c>
      <c r="AS11" s="1352">
        <v>426</v>
      </c>
      <c r="AT11" s="1352">
        <f t="shared" si="20"/>
        <v>405</v>
      </c>
      <c r="AU11" s="1352">
        <v>384</v>
      </c>
      <c r="AV11" s="1352">
        <f t="shared" si="21"/>
        <v>377</v>
      </c>
      <c r="AW11" s="1352">
        <v>370</v>
      </c>
      <c r="AX11" s="1352">
        <f t="shared" si="22"/>
        <v>364.5</v>
      </c>
      <c r="AY11" s="1352">
        <v>359</v>
      </c>
      <c r="AZ11" s="1352">
        <f t="shared" si="23"/>
        <v>353.5</v>
      </c>
      <c r="BA11" s="1352">
        <v>348</v>
      </c>
      <c r="BB11" s="1352">
        <f t="shared" si="24"/>
        <v>345</v>
      </c>
      <c r="BC11" s="1352">
        <v>342</v>
      </c>
      <c r="BD11" s="1350">
        <f t="shared" si="25"/>
        <v>339</v>
      </c>
      <c r="BE11" s="1350">
        <f t="shared" si="8"/>
        <v>336</v>
      </c>
      <c r="BF11" s="1350">
        <f t="shared" si="9"/>
        <v>333</v>
      </c>
      <c r="BG11" s="1350">
        <f t="shared" si="10"/>
        <v>330</v>
      </c>
      <c r="BH11" s="1350">
        <f t="shared" si="11"/>
        <v>327</v>
      </c>
      <c r="BI11" s="13"/>
    </row>
    <row r="12" spans="1:61" s="13" customFormat="1" ht="18.75" customHeight="1" x14ac:dyDescent="0.25">
      <c r="A12" s="1353" t="s">
        <v>1262</v>
      </c>
      <c r="B12" s="1352">
        <f ca="1">'Ввод исходных данных'!G285</f>
        <v>5596.7999999999993</v>
      </c>
      <c r="C12" s="1352">
        <f>IF('Ввод исходных данных'!$D$19&lt;='классы ЭЭ и выбросы ПГ'!C$4,IF($B12&lt;3000,SLOPE(C5:C6,$B5:$B6)*$B12+INTERCEPT(C5:C6,$B5:$B6),SLOPE(C6:C11,$B6:$B11)*$B12+INTERCEPT(C6:C11,$B6:$B11)),0)</f>
        <v>0</v>
      </c>
      <c r="D12" s="1352">
        <f>IF('Ввод исходных данных'!$D$19='классы ЭЭ и выбросы ПГ'!D$4,IF($B12&lt;3000,SLOPE(D5:D6,$B5:$B6)*$B12+INTERCEPT(D5:D6,$B5:$B6),SLOPE(D6:D11,$B6:$B11)*$B12+INTERCEPT(D6:D11,$B6:$B11)),0)</f>
        <v>0</v>
      </c>
      <c r="E12" s="1352">
        <f>IF('Ввод исходных данных'!$D$19='классы ЭЭ и выбросы ПГ'!E$4,IF($B12&lt;3000,SLOPE(E5:E6,$B5:$B6)*$B12+INTERCEPT(E5:E6,$B5:$B6),SLOPE(E6:E11,$B6:$B11)*$B12+INTERCEPT(E6:E11,$B6:$B11)),0)</f>
        <v>0</v>
      </c>
      <c r="F12" s="1352">
        <f ca="1">IF('Ввод исходных данных'!$D$19='классы ЭЭ и выбросы ПГ'!F$4,IF($B12&lt;3000,SLOPE(F5:F6,$B5:$B6)*$B12+INTERCEPT(F5:F6,$B5:$B6),SLOPE(F6:F11,$B6:$B11)*$B12+INTERCEPT(F6:F11,$B6:$B11)),0)</f>
        <v>274.05444705882348</v>
      </c>
      <c r="G12" s="1352">
        <f>IF('Ввод исходных данных'!$D$19='классы ЭЭ и выбросы ПГ'!G$4,IF($B12&lt;3000,SLOPE(G5:G6,$B5:$B6)*$B12+INTERCEPT(G5:G6,$B5:$B6),SLOPE(G6:G11,$B6:$B11)*$B12+INTERCEPT(G6:G11,$B6:$B11)),0)</f>
        <v>0</v>
      </c>
      <c r="H12" s="1352">
        <f>IF('Ввод исходных данных'!$D$19='классы ЭЭ и выбросы ПГ'!H$4,IF($B12&lt;3000,SLOPE(H5:H6,$B5:$B6)*$B12+INTERCEPT(H5:H6,$B5:$B6),SLOPE(H6:H11,$B6:$B11)*$B12+INTERCEPT(H6:H11,$B6:$B11)),0)</f>
        <v>0</v>
      </c>
      <c r="I12" s="1352">
        <f>IF('Ввод исходных данных'!$D$19='классы ЭЭ и выбросы ПГ'!I$4,IF($B12&lt;3000,SLOPE(I5:I6,$B5:$B6)*$B12+INTERCEPT(I5:I6,$B5:$B6),SLOPE(I6:I11,$B6:$B11)*$B12+INTERCEPT(I6:I11,$B6:$B11)),0)</f>
        <v>0</v>
      </c>
      <c r="J12" s="1352">
        <f>IF('Ввод исходных данных'!$D$19='классы ЭЭ и выбросы ПГ'!J$4,IF($B12&lt;3000,SLOPE(J5:J6,$B5:$B6)*$B12+INTERCEPT(J5:J6,$B5:$B6),SLOPE(J6:J11,$B6:$B11)*$B12+INTERCEPT(J6:J11,$B6:$B11)),0)</f>
        <v>0</v>
      </c>
      <c r="K12" s="1352">
        <f>IF('Ввод исходных данных'!$D$19='классы ЭЭ и выбросы ПГ'!K$4,IF($B12&lt;3000,SLOPE(K5:K6,$B5:$B6)*$B12+INTERCEPT(K5:K6,$B5:$B6),SLOPE(K6:K11,$B6:$B11)*$B12+INTERCEPT(K6:K11,$B6:$B11)),0)</f>
        <v>0</v>
      </c>
      <c r="L12" s="1352">
        <f>IF('Ввод исходных данных'!$D$19='классы ЭЭ и выбросы ПГ'!L$4,IF($B12&lt;3000,SLOPE(L5:L6,$B5:$B6)*$B12+INTERCEPT(L5:L6,$B5:$B6),SLOPE(L6:L11,$B6:$B11)*$B12+INTERCEPT(L6:L11,$B6:$B11)),0)</f>
        <v>0</v>
      </c>
      <c r="M12" s="1352">
        <f>IF('Ввод исходных данных'!$D$19='классы ЭЭ и выбросы ПГ'!M$4,IF($B12&lt;3000,SLOPE(M5:M6,$B5:$B6)*$B12+INTERCEPT(M5:M6,$B5:$B6),SLOPE(M6:M11,$B6:$B11)*$B12+INTERCEPT(M6:M11,$B6:$B11)),0)</f>
        <v>0</v>
      </c>
      <c r="N12" s="1352">
        <f>IF('Ввод исходных данных'!$D$19='классы ЭЭ и выбросы ПГ'!N$4,IF($B12&lt;3000,SLOPE(N5:N6,$B5:$B6)*$B12+INTERCEPT(N5:N6,$B5:$B6),SLOPE(N6:N11,$B6:$B11)*$B12+INTERCEPT(N6:N11,$B6:$B11)),0)</f>
        <v>0</v>
      </c>
      <c r="O12" s="1352">
        <f>IF('Ввод исходных данных'!$D$19='классы ЭЭ и выбросы ПГ'!O$4,IF($B12&lt;3000,SLOPE(O5:O6,$B5:$B6)*$B12+INTERCEPT(O5:O6,$B5:$B6),SLOPE(O6:O11,$B6:$B11)*$B12+INTERCEPT(O6:O11,$B6:$B11)),0)</f>
        <v>0</v>
      </c>
      <c r="P12" s="1352">
        <f>IF('Ввод исходных данных'!$D$19='классы ЭЭ и выбросы ПГ'!P$4,IF($B12&lt;3000,SLOPE(P5:P6,$B5:$B6)*$B12+INTERCEPT(P5:P6,$B5:$B6),SLOPE(P6:P11,$B6:$B11)*$B12+INTERCEPT(P6:P11,$B6:$B11)),0)</f>
        <v>0</v>
      </c>
      <c r="Q12" s="1352">
        <f>IF('Ввод исходных данных'!$D$19='классы ЭЭ и выбросы ПГ'!Q$4,IF($B12&lt;3000,SLOPE(Q5:Q6,$B5:$B6)*$B12+INTERCEPT(Q5:Q6,$B5:$B6),SLOPE(Q6:Q11,$B6:$B11)*$B12+INTERCEPT(Q6:Q11,$B6:$B11)),0)</f>
        <v>0</v>
      </c>
      <c r="R12" s="1352">
        <f>IF('Ввод исходных данных'!$D$19&gt;='классы ЭЭ и выбросы ПГ'!R$4,IF($B12&lt;3000,SLOPE(R5:R6,$B5:$B6)*$B12+INTERCEPT(R5:R6,$B5:$B6),SLOPE(R6:R11,$B6:$B11)*$B12+INTERCEPT(R6:R11,$B6:$B11)),0)</f>
        <v>0</v>
      </c>
      <c r="S12" s="1354">
        <f ca="1">SUM(C12:R12)-IF('Ввод исходных данных'!D159&gt;0,0,3)</f>
        <v>271.05444705882348</v>
      </c>
      <c r="W12" s="1372" t="s">
        <v>1262</v>
      </c>
      <c r="X12" s="1352" t="str">
        <f>'Рейтинг МКД'!$D$11</f>
        <v/>
      </c>
      <c r="Y12" s="1352" t="e">
        <f>IF('Рейтинг МКД'!$D$13&lt;='классы ЭЭ и выбросы ПГ'!Y$4,IF($X12&lt;3000,SLOPE(Y5:Y6,$X5:$X6)*$X12+INTERCEPT(Y5:Y6,$X5:$X6),SLOPE(Y6:Y11,$X6:$X11)*$X12+INTERCEPT(Y6:Y11,$X6:$X11)),0)</f>
        <v>#VALUE!</v>
      </c>
      <c r="Z12" s="1352">
        <f>IF('Рейтинг МКД'!$D$13='классы ЭЭ и выбросы ПГ'!Z$4,IF($X12&lt;3000,SLOPE(Z5:Z6,$X5:$X6)*$X12+INTERCEPT(Z5:Z6,$X5:$X6),SLOPE(Z6:Z11,$X6:$X11)*$X12+INTERCEPT(Z6:Z11,$X6:$X11)),0)</f>
        <v>0</v>
      </c>
      <c r="AA12" s="1352">
        <f>IF('Рейтинг МКД'!$D$13='классы ЭЭ и выбросы ПГ'!AA$4,IF($X12&lt;3000,SLOPE(AA5:AA6,$X5:$X6)*$X12+INTERCEPT(AA5:AA6,$X5:$X6),SLOPE(AA6:AA11,$X6:$X11)*$X12+INTERCEPT(AA6:AA11,$X6:$X11)),0)</f>
        <v>0</v>
      </c>
      <c r="AB12" s="1352">
        <f>IF('Рейтинг МКД'!$D$13='классы ЭЭ и выбросы ПГ'!AB$4,IF($X12&lt;3000,SLOPE(AB5:AB6,$X5:$X6)*$X12+INTERCEPT(AB5:AB6,$X5:$X6),SLOPE(AB6:AB11,$X6:$X11)*$X12+INTERCEPT(AB6:AB11,$X6:$X11)),0)</f>
        <v>0</v>
      </c>
      <c r="AC12" s="1352">
        <f>IF('Рейтинг МКД'!$D$13='классы ЭЭ и выбросы ПГ'!AC$4,IF($X12&lt;3000,SLOPE(AC5:AC6,$X5:$X6)*$X12+INTERCEPT(AC5:AC6,$X5:$X6),SLOPE(AC6:AC11,$X6:$X11)*$X12+INTERCEPT(AC6:AC11,$X6:$X11)),0)</f>
        <v>0</v>
      </c>
      <c r="AD12" s="1352">
        <f>IF('Рейтинг МКД'!$D$13='классы ЭЭ и выбросы ПГ'!AD$4,IF($X12&lt;3000,SLOPE(AD5:AD6,$X5:$X6)*$X12+INTERCEPT(AD5:AD6,$X5:$X6),SLOPE(AD6:AD11,$X6:$X11)*$X12+INTERCEPT(AD6:AD11,$X6:$X11)),0)</f>
        <v>0</v>
      </c>
      <c r="AE12" s="1352">
        <f>IF('Рейтинг МКД'!$D$13='классы ЭЭ и выбросы ПГ'!AE$4,IF($X12&lt;3000,SLOPE(AE5:AE6,$X5:$X6)*$X12+INTERCEPT(AE5:AE6,$X5:$X6),SLOPE(AE6:AE11,$X6:$X11)*$X12+INTERCEPT(AE6:AE11,$X6:$X11)),0)</f>
        <v>0</v>
      </c>
      <c r="AF12" s="1352">
        <f>IF('Рейтинг МКД'!$D$13='классы ЭЭ и выбросы ПГ'!AF$4,IF($X12&lt;3000,SLOPE(AF5:AF6,$X5:$X6)*$X12+INTERCEPT(AF5:AF6,$X5:$X6),SLOPE(AF6:AF11,$X6:$X11)*$X12+INTERCEPT(AF6:AF11,$X6:$X11)),0)</f>
        <v>0</v>
      </c>
      <c r="AG12" s="1352">
        <f>IF('Рейтинг МКД'!$D$13='классы ЭЭ и выбросы ПГ'!AG$4,IF($X12&lt;3000,SLOPE(AG5:AG6,$X5:$X6)*$X12+INTERCEPT(AG5:AG6,$X5:$X6),SLOPE(AG6:AG11,$X6:$X11)*$X12+INTERCEPT(AG6:AG11,$X6:$X11)),0)</f>
        <v>0</v>
      </c>
      <c r="AH12" s="1352">
        <f>IF('Рейтинг МКД'!$D$13='классы ЭЭ и выбросы ПГ'!AH$4,IF($X12&lt;3000,SLOPE(AH5:AH6,$X5:$X6)*$X12+INTERCEPT(AH5:AH6,$X5:$X6),SLOPE(AH6:AH11,$X6:$X11)*$X12+INTERCEPT(AH6:AH11,$X6:$X11)),0)</f>
        <v>0</v>
      </c>
      <c r="AI12" s="1352">
        <f>IF('Рейтинг МКД'!$D$13='классы ЭЭ и выбросы ПГ'!AI$4,IF($X12&lt;3000,SLOPE(AI5:AI6,$X5:$X6)*$X12+INTERCEPT(AI5:AI6,$X5:$X6),SLOPE(AI6:AI11,$X6:$X11)*$X12+INTERCEPT(AI6:AI11,$X6:$X11)),0)</f>
        <v>0</v>
      </c>
      <c r="AJ12" s="1352">
        <f>IF('Рейтинг МКД'!$D$13='классы ЭЭ и выбросы ПГ'!AJ$4,IF($X12&lt;3000,SLOPE(AJ5:AJ6,$X5:$X6)*$X12+INTERCEPT(AJ5:AJ6,$X5:$X6),SLOPE(AJ6:AJ11,$X6:$X11)*$X12+INTERCEPT(AJ6:AJ11,$X6:$X11)),0)</f>
        <v>0</v>
      </c>
      <c r="AK12" s="1352">
        <f>IF('Рейтинг МКД'!$D$13='классы ЭЭ и выбросы ПГ'!AK$4,IF($X12&lt;3000,SLOPE(AK5:AK6,$X5:$X6)*$X12+INTERCEPT(AK5:AK6,$X5:$X6),SLOPE(AK6:AK11,$X6:$X11)*$X12+INTERCEPT(AK6:AK11,$X6:$X11)),0)</f>
        <v>0</v>
      </c>
      <c r="AL12" s="1352">
        <f>IF('Рейтинг МКД'!$D$13='классы ЭЭ и выбросы ПГ'!AL$4,IF($X12&lt;3000,SLOPE(AL5:AL6,$X5:$X6)*$X12+INTERCEPT(AL5:AL6,$X5:$X6),SLOPE(AL6:AL11,$X6:$X11)*$X12+INTERCEPT(AL6:AL11,$X6:$X11)),0)</f>
        <v>0</v>
      </c>
      <c r="AM12" s="1352">
        <f>IF('Рейтинг МКД'!$D$13='классы ЭЭ и выбросы ПГ'!AM$4,IF($X12&lt;3000,SLOPE(AM5:AM6,$X5:$X6)*$X12+INTERCEPT(AM5:AM6,$X5:$X6),SLOPE(AM6:AM11,$X6:$X11)*$X12+INTERCEPT(AM6:AM11,$X6:$X11)),0)</f>
        <v>0</v>
      </c>
      <c r="AN12" s="1352">
        <f>IF('Рейтинг МКД'!$D$13&gt;='классы ЭЭ и выбросы ПГ'!AN$4,IF($X12&lt;3000,SLOPE(AN5:AN6,$X5:$X6)*$X12+INTERCEPT(AN5:AN6,$X5:$X6),SLOPE(AN6:AN11,$X6:$X11)*$X12+INTERCEPT(AN6:AN11,$X6:$X11)),0)</f>
        <v>0</v>
      </c>
      <c r="AO12" s="1354" t="e">
        <f>SUM(Y12:AN12)-IF('Рейтинг МКД'!D15="да",0,3)</f>
        <v>#VALUE!</v>
      </c>
      <c r="AP12" s="1358"/>
      <c r="AQ12" s="1374" t="s">
        <v>1262</v>
      </c>
      <c r="AR12" s="1352">
        <f ca="1">B12</f>
        <v>5596.7999999999993</v>
      </c>
      <c r="AS12" s="1352">
        <f>IF('Ввод исходных данных'!$D$19&lt;='классы ЭЭ и выбросы ПГ'!AS$4,IF($AR12&lt;3000,SLOPE(AS5:AS6,$AR5:$AR6)*$AR12+INTERCEPT(AS5:AS6,$AR5:$AR6),SLOPE(AS6:AS11,$AR6:$AR11)*$AR12+INTERCEPT(AS6:AS11,$AR6:$AR11)),0)</f>
        <v>0</v>
      </c>
      <c r="AT12" s="1352">
        <f>IF('Ввод исходных данных'!$D$19='классы ЭЭ и выбросы ПГ'!AT$4,IF($AR12&lt;3000,SLOPE(AT5:AT6,$AR5:$AR6)*$AR12+INTERCEPT(AT5:AT6,$AR5:$AR6),SLOPE(AT6:AT11,$AR6:$AR11)*$AR12+INTERCEPT(AT6:AT11,$AR6:$AR11)),0)</f>
        <v>0</v>
      </c>
      <c r="AU12" s="1352">
        <f>IF('Ввод исходных данных'!$D$19='классы ЭЭ и выбросы ПГ'!AU$4,IF($AR12&lt;3000,SLOPE(AU5:AU6,$AR5:$AR6)*$AR12+INTERCEPT(AU5:AU6,$AR5:$AR6),SLOPE(AU6:AU11,$AR6:$AR11)*$AR12+INTERCEPT(AU6:AU11,$AR6:$AR11)),0)</f>
        <v>0</v>
      </c>
      <c r="AV12" s="1352">
        <f ca="1">IF('Ввод исходных данных'!$D$19='классы ЭЭ и выбросы ПГ'!AV$4,IF($AR12&lt;3000,SLOPE(AV5:AV6,$AR5:$AR6)*$AR12+INTERCEPT(AV5:AV6,$AR5:$AR6),SLOPE(AV6:AV11,$AR6:$AR11)*$AR12+INTERCEPT(AV6:AV11,$AR6:$AR11)),0)</f>
        <v>274.05444705882348</v>
      </c>
      <c r="AW12" s="1352">
        <f>IF('Ввод исходных данных'!$D$19='классы ЭЭ и выбросы ПГ'!AW$4,IF($AR12&lt;3000,SLOPE(AW5:AW6,$AR5:$AR6)*$AR12+INTERCEPT(AW5:AW6,$AR5:$AR6),SLOPE(AW6:AW11,$AR6:$AR11)*$AR12+INTERCEPT(AW6:AW11,$AR6:$AR11)),0)</f>
        <v>0</v>
      </c>
      <c r="AX12" s="1352">
        <f>IF('Ввод исходных данных'!$D$19='классы ЭЭ и выбросы ПГ'!AX$4,IF($AR12&lt;3000,SLOPE(AX5:AX6,$AR5:$AR6)*$AR12+INTERCEPT(AX5:AX6,$AR5:$AR6),SLOPE(AX6:AX11,$AR6:$AR11)*$AR12+INTERCEPT(AX6:AX11,$AR6:$AR11)),0)</f>
        <v>0</v>
      </c>
      <c r="AY12" s="1352">
        <f>IF('Ввод исходных данных'!$D$19='классы ЭЭ и выбросы ПГ'!AY$4,IF($AR12&lt;3000,SLOPE(AY5:AY6,$AR5:$AR6)*$AR12+INTERCEPT(AY5:AY6,$AR5:$AR6),SLOPE(AY6:AY11,$AR6:$AR11)*$AR12+INTERCEPT(AY6:AY11,$AR6:$AR11)),0)</f>
        <v>0</v>
      </c>
      <c r="AZ12" s="1352">
        <f>IF('Ввод исходных данных'!$D$19='классы ЭЭ и выбросы ПГ'!AZ$4,IF($AR12&lt;3000,SLOPE(AZ5:AZ6,$AR5:$AR6)*$AR12+INTERCEPT(AZ5:AZ6,$AR5:$AR6),SLOPE(AZ6:AZ11,$AR6:$AR11)*$AR12+INTERCEPT(AZ6:AZ11,$AR6:$AR11)),0)</f>
        <v>0</v>
      </c>
      <c r="BA12" s="1352">
        <f>IF('Ввод исходных данных'!$D$19='классы ЭЭ и выбросы ПГ'!BA$4,IF($AR12&lt;3000,SLOPE(BA5:BA6,$AR5:$AR6)*$AR12+INTERCEPT(BA5:BA6,$AR5:$AR6),SLOPE(BA6:BA11,$AR6:$AR11)*$AR12+INTERCEPT(BA6:BA11,$AR6:$AR11)),0)</f>
        <v>0</v>
      </c>
      <c r="BB12" s="1352">
        <f>IF('Ввод исходных данных'!$D$19='классы ЭЭ и выбросы ПГ'!BB$4,IF($AR12&lt;3000,SLOPE(BB5:BB6,$AR5:$AR6)*$AR12+INTERCEPT(BB5:BB6,$AR5:$AR6),SLOPE(BB6:BB11,$AR6:$AR11)*$AR12+INTERCEPT(BB6:BB11,$AR6:$AR11)),0)</f>
        <v>0</v>
      </c>
      <c r="BC12" s="1352">
        <f>IF('Ввод исходных данных'!$D$19='классы ЭЭ и выбросы ПГ'!BC$4,IF($AR12&lt;3000,SLOPE(BC5:BC6,$AR5:$AR6)*$AR12+INTERCEPT(BC5:BC6,$AR5:$AR6),SLOPE(BC6:BC11,$AR6:$AR11)*$AR12+INTERCEPT(BC6:BC11,$AR6:$AR11)),0)</f>
        <v>0</v>
      </c>
      <c r="BD12" s="1352">
        <f>IF('Ввод исходных данных'!$D$19='классы ЭЭ и выбросы ПГ'!BD$4,IF($AR12&lt;3000,SLOPE(BD5:BD6,$AR5:$AR6)*$AR12+INTERCEPT(BD5:BD6,$AR5:$AR6),SLOPE(BD6:BD11,$AR6:$AR11)*$AR12+INTERCEPT(BD6:BD11,$AR6:$AR11)),0)</f>
        <v>0</v>
      </c>
      <c r="BE12" s="1352">
        <f>IF('Ввод исходных данных'!$D$19='классы ЭЭ и выбросы ПГ'!BE$4,IF($AR12&lt;3000,SLOPE(BE5:BE6,$AR5:$AR6)*$AR12+INTERCEPT(BE5:BE6,$AR5:$AR6),SLOPE(BE6:BE11,$AR6:$AR11)*$AR12+INTERCEPT(BE6:BE11,$AR6:$AR11)),0)</f>
        <v>0</v>
      </c>
      <c r="BF12" s="1352">
        <f>IF('Ввод исходных данных'!$D$19='классы ЭЭ и выбросы ПГ'!BF$4,IF($AR12&lt;3000,SLOPE(BF5:BF6,$AR5:$AR6)*$AR12+INTERCEPT(BF5:BF6,$AR5:$AR6),SLOPE(BF6:BF11,$AR6:$AR11)*$AR12+INTERCEPT(BF6:BF11,$AR6:$AR11)),0)</f>
        <v>0</v>
      </c>
      <c r="BG12" s="1352">
        <f>IF('Ввод исходных данных'!$D$19='классы ЭЭ и выбросы ПГ'!BG$4,IF($AR12&lt;3000,SLOPE(BG5:BG6,$AR5:$AR6)*$AR12+INTERCEPT(BG5:BG6,$AR5:$AR6),SLOPE(BG6:BG11,$AR6:$AR11)*$AR12+INTERCEPT(BG6:BG11,$AR6:$AR11)),0)</f>
        <v>0</v>
      </c>
      <c r="BH12" s="1352">
        <f>IF('Ввод исходных данных'!$D$19&gt;='классы ЭЭ и выбросы ПГ'!BH$4,IF($AR12&lt;3000,SLOPE(BH5:BH6,$AR5:$AR6)*$AR12+INTERCEPT(BH5:BH6,$AR5:$AR6),SLOPE(BH6:BH11,$AR6:$AR11)*$AR12+INTERCEPT(BH6:BH11,$AR6:$AR11)),0)</f>
        <v>0</v>
      </c>
      <c r="BI12" s="1354">
        <f ca="1">SUM(AS12:BH12)-IF('Ввод исходных данных'!D159&gt;0,0,3)</f>
        <v>271.05444705882348</v>
      </c>
    </row>
    <row r="13" spans="1:61" ht="16.5" customHeight="1" x14ac:dyDescent="0.25">
      <c r="A13" s="2584" t="s">
        <v>1783</v>
      </c>
      <c r="B13" s="1352">
        <v>2000</v>
      </c>
      <c r="C13" s="1352">
        <v>67</v>
      </c>
      <c r="D13" s="1352">
        <f t="shared" ref="D13:D19" si="26">AVERAGE(C13,E13)</f>
        <v>61.5</v>
      </c>
      <c r="E13" s="1352">
        <v>56</v>
      </c>
      <c r="F13" s="1352">
        <f t="shared" ref="F13:F19" si="27">AVERAGE(E13,G13)</f>
        <v>50</v>
      </c>
      <c r="G13" s="1352">
        <v>44</v>
      </c>
      <c r="H13" s="1352">
        <f t="shared" ref="H13:H19" si="28">AVERAGE(G13,I13)</f>
        <v>43</v>
      </c>
      <c r="I13" s="1352">
        <v>42</v>
      </c>
      <c r="J13" s="1352">
        <f t="shared" ref="J13:J19" si="29">AVERAGE(I13,K13)</f>
        <v>41</v>
      </c>
      <c r="K13" s="1352">
        <v>40</v>
      </c>
      <c r="L13" s="1352">
        <f t="shared" ref="L13:L19" si="30">AVERAGE(K13,M13)</f>
        <v>39.5</v>
      </c>
      <c r="M13" s="1352">
        <v>39</v>
      </c>
      <c r="N13" s="1350">
        <f>M13+(M13-L13)</f>
        <v>38.5</v>
      </c>
      <c r="O13" s="1350">
        <f t="shared" ref="O13:O19" si="31">N13+(N13-M13)</f>
        <v>38</v>
      </c>
      <c r="P13" s="1350">
        <f t="shared" ref="P13:P19" si="32">O13+(O13-N13)</f>
        <v>37.5</v>
      </c>
      <c r="Q13" s="1350">
        <f t="shared" ref="Q13:Q19" si="33">P13+(P13-O13)</f>
        <v>37</v>
      </c>
      <c r="R13" s="1350">
        <f t="shared" ref="R13:R19" si="34">Q13+(Q13-P13)</f>
        <v>36.5</v>
      </c>
      <c r="T13" s="13"/>
      <c r="U13" s="13"/>
      <c r="W13" s="2584" t="s">
        <v>1783</v>
      </c>
      <c r="X13" s="1352">
        <v>2000</v>
      </c>
      <c r="Y13" s="1352">
        <v>67</v>
      </c>
      <c r="Z13" s="1352">
        <f>AVERAGE(Y13,AA13)</f>
        <v>61.5</v>
      </c>
      <c r="AA13" s="1352">
        <v>56</v>
      </c>
      <c r="AB13" s="1352">
        <f>AVERAGE(AA13,AC13)</f>
        <v>50</v>
      </c>
      <c r="AC13" s="1352">
        <v>44</v>
      </c>
      <c r="AD13" s="1352">
        <f>AVERAGE(AC13,AE13)</f>
        <v>43</v>
      </c>
      <c r="AE13" s="1352">
        <v>42</v>
      </c>
      <c r="AF13" s="1352">
        <f>AVERAGE(AE13,AG13)</f>
        <v>41</v>
      </c>
      <c r="AG13" s="1352">
        <v>40</v>
      </c>
      <c r="AH13" s="1352">
        <f>AVERAGE(AG13,AI13)</f>
        <v>39.5</v>
      </c>
      <c r="AI13" s="1352">
        <v>39</v>
      </c>
      <c r="AJ13" s="1350">
        <f>AI13+(AI13-AH13)</f>
        <v>38.5</v>
      </c>
      <c r="AK13" s="1350">
        <f t="shared" ref="AK13:AK19" si="35">AJ13+(AJ13-AI13)</f>
        <v>38</v>
      </c>
      <c r="AL13" s="1350">
        <f t="shared" ref="AL13:AL19" si="36">AK13+(AK13-AJ13)</f>
        <v>37.5</v>
      </c>
      <c r="AM13" s="1350">
        <f t="shared" ref="AM13:AM19" si="37">AL13+(AL13-AK13)</f>
        <v>37</v>
      </c>
      <c r="AN13" s="1350">
        <f t="shared" ref="AN13:AN19" si="38">AM13+(AM13-AL13)</f>
        <v>36.5</v>
      </c>
      <c r="AO13" s="13"/>
      <c r="AP13" s="1424"/>
      <c r="AQ13" s="2584" t="s">
        <v>1783</v>
      </c>
      <c r="AR13" s="1352">
        <v>2000</v>
      </c>
      <c r="AS13" s="1352">
        <v>67</v>
      </c>
      <c r="AT13" s="1352">
        <f>AVERAGE(AS13,AU13)</f>
        <v>61.5</v>
      </c>
      <c r="AU13" s="1352">
        <v>56</v>
      </c>
      <c r="AV13" s="1352">
        <f>AVERAGE(AU13,AW13)</f>
        <v>50</v>
      </c>
      <c r="AW13" s="1352">
        <v>44</v>
      </c>
      <c r="AX13" s="1352">
        <f>AVERAGE(AW13,AY13)</f>
        <v>43</v>
      </c>
      <c r="AY13" s="1352">
        <v>42</v>
      </c>
      <c r="AZ13" s="1352">
        <f>AVERAGE(AY13,BA13)</f>
        <v>41</v>
      </c>
      <c r="BA13" s="1352">
        <v>40</v>
      </c>
      <c r="BB13" s="1352">
        <f>AVERAGE(BA13,BC13)</f>
        <v>39.5</v>
      </c>
      <c r="BC13" s="1352">
        <v>39</v>
      </c>
      <c r="BD13" s="1350">
        <f>BC13+(BC13-BB13)</f>
        <v>38.5</v>
      </c>
      <c r="BE13" s="1350">
        <f t="shared" ref="BE13:BE19" si="39">BD13+(BD13-BC13)</f>
        <v>38</v>
      </c>
      <c r="BF13" s="1350">
        <f t="shared" ref="BF13:BF19" si="40">BE13+(BE13-BD13)</f>
        <v>37.5</v>
      </c>
      <c r="BG13" s="1350">
        <f t="shared" ref="BG13:BG19" si="41">BF13+(BF13-BE13)</f>
        <v>37</v>
      </c>
      <c r="BH13" s="1350">
        <f t="shared" ref="BH13:BH19" si="42">BG13+(BG13-BF13)</f>
        <v>36.5</v>
      </c>
      <c r="BI13" s="13"/>
    </row>
    <row r="14" spans="1:61" ht="16.5" customHeight="1" x14ac:dyDescent="0.25">
      <c r="A14" s="2584"/>
      <c r="B14" s="1352">
        <v>3000</v>
      </c>
      <c r="C14" s="1352">
        <v>100</v>
      </c>
      <c r="D14" s="1352">
        <f t="shared" si="26"/>
        <v>91.5</v>
      </c>
      <c r="E14" s="1352">
        <v>83</v>
      </c>
      <c r="F14" s="1352">
        <f t="shared" si="27"/>
        <v>75</v>
      </c>
      <c r="G14" s="1352">
        <v>67</v>
      </c>
      <c r="H14" s="1352">
        <f t="shared" si="28"/>
        <v>65</v>
      </c>
      <c r="I14" s="1352">
        <v>63</v>
      </c>
      <c r="J14" s="1352">
        <f t="shared" si="29"/>
        <v>61.5</v>
      </c>
      <c r="K14" s="1352">
        <v>60</v>
      </c>
      <c r="L14" s="1352">
        <f t="shared" si="30"/>
        <v>59</v>
      </c>
      <c r="M14" s="1352">
        <v>58</v>
      </c>
      <c r="N14" s="1350">
        <f t="shared" ref="N14:N19" si="43">M14+(M14-L14)</f>
        <v>57</v>
      </c>
      <c r="O14" s="1350">
        <f t="shared" si="31"/>
        <v>56</v>
      </c>
      <c r="P14" s="1350">
        <f t="shared" si="32"/>
        <v>55</v>
      </c>
      <c r="Q14" s="1350">
        <f t="shared" si="33"/>
        <v>54</v>
      </c>
      <c r="R14" s="1350">
        <f t="shared" si="34"/>
        <v>53</v>
      </c>
      <c r="W14" s="2584"/>
      <c r="X14" s="1352">
        <v>3000</v>
      </c>
      <c r="Y14" s="1352">
        <v>100</v>
      </c>
      <c r="Z14" s="1352">
        <f t="shared" ref="Z14:Z19" si="44">AVERAGE(Y14,AA14)</f>
        <v>91.5</v>
      </c>
      <c r="AA14" s="1352">
        <v>83</v>
      </c>
      <c r="AB14" s="1352">
        <f t="shared" ref="AB14:AB19" si="45">AVERAGE(AA14,AC14)</f>
        <v>75</v>
      </c>
      <c r="AC14" s="1352">
        <v>67</v>
      </c>
      <c r="AD14" s="1352">
        <f t="shared" ref="AD14:AD19" si="46">AVERAGE(AC14,AE14)</f>
        <v>65</v>
      </c>
      <c r="AE14" s="1352">
        <v>63</v>
      </c>
      <c r="AF14" s="1352">
        <f t="shared" ref="AF14:AF19" si="47">AVERAGE(AE14,AG14)</f>
        <v>61.5</v>
      </c>
      <c r="AG14" s="1352">
        <v>60</v>
      </c>
      <c r="AH14" s="1352">
        <f t="shared" ref="AH14:AH19" si="48">AVERAGE(AG14,AI14)</f>
        <v>59</v>
      </c>
      <c r="AI14" s="1352">
        <v>58</v>
      </c>
      <c r="AJ14" s="1350">
        <f t="shared" ref="AJ14:AJ19" si="49">AI14+(AI14-AH14)</f>
        <v>57</v>
      </c>
      <c r="AK14" s="1350">
        <f t="shared" si="35"/>
        <v>56</v>
      </c>
      <c r="AL14" s="1350">
        <f t="shared" si="36"/>
        <v>55</v>
      </c>
      <c r="AM14" s="1350">
        <f t="shared" si="37"/>
        <v>54</v>
      </c>
      <c r="AN14" s="1350">
        <f t="shared" si="38"/>
        <v>53</v>
      </c>
      <c r="AO14" s="1396" t="e">
        <f>AO12/X12</f>
        <v>#VALUE!</v>
      </c>
      <c r="AP14" s="1424"/>
      <c r="AQ14" s="2584"/>
      <c r="AR14" s="1352">
        <v>3000</v>
      </c>
      <c r="AS14" s="1352">
        <v>100</v>
      </c>
      <c r="AT14" s="1352">
        <f t="shared" ref="AT14:AT19" si="50">AVERAGE(AS14,AU14)</f>
        <v>91.5</v>
      </c>
      <c r="AU14" s="1352">
        <v>83</v>
      </c>
      <c r="AV14" s="1352">
        <f t="shared" ref="AV14:AV19" si="51">AVERAGE(AU14,AW14)</f>
        <v>75</v>
      </c>
      <c r="AW14" s="1352">
        <v>67</v>
      </c>
      <c r="AX14" s="1352">
        <f t="shared" ref="AX14:AX19" si="52">AVERAGE(AW14,AY14)</f>
        <v>65</v>
      </c>
      <c r="AY14" s="1352">
        <v>63</v>
      </c>
      <c r="AZ14" s="1352">
        <f t="shared" ref="AZ14:AZ19" si="53">AVERAGE(AY14,BA14)</f>
        <v>61.5</v>
      </c>
      <c r="BA14" s="1352">
        <v>60</v>
      </c>
      <c r="BB14" s="1352">
        <f t="shared" ref="BB14:BB19" si="54">AVERAGE(BA14,BC14)</f>
        <v>59</v>
      </c>
      <c r="BC14" s="1352">
        <v>58</v>
      </c>
      <c r="BD14" s="1350">
        <f t="shared" ref="BD14:BD19" si="55">BC14+(BC14-BB14)</f>
        <v>57</v>
      </c>
      <c r="BE14" s="1350">
        <f t="shared" si="39"/>
        <v>56</v>
      </c>
      <c r="BF14" s="1350">
        <f t="shared" si="40"/>
        <v>55</v>
      </c>
      <c r="BG14" s="1350">
        <f t="shared" si="41"/>
        <v>54</v>
      </c>
      <c r="BH14" s="1350">
        <f t="shared" si="42"/>
        <v>53</v>
      </c>
      <c r="BI14" s="13"/>
    </row>
    <row r="15" spans="1:61" ht="16.5" customHeight="1" x14ac:dyDescent="0.25">
      <c r="A15" s="2584"/>
      <c r="B15" s="1352">
        <v>4000</v>
      </c>
      <c r="C15" s="1352">
        <v>133</v>
      </c>
      <c r="D15" s="1352">
        <f t="shared" si="26"/>
        <v>122</v>
      </c>
      <c r="E15" s="1352">
        <v>111</v>
      </c>
      <c r="F15" s="1352">
        <f t="shared" si="27"/>
        <v>100</v>
      </c>
      <c r="G15" s="1352">
        <v>89</v>
      </c>
      <c r="H15" s="1352">
        <f t="shared" si="28"/>
        <v>86.5</v>
      </c>
      <c r="I15" s="1352">
        <v>84</v>
      </c>
      <c r="J15" s="1352">
        <f t="shared" si="29"/>
        <v>82</v>
      </c>
      <c r="K15" s="1352">
        <v>80</v>
      </c>
      <c r="L15" s="1352">
        <f t="shared" si="30"/>
        <v>79</v>
      </c>
      <c r="M15" s="1352">
        <v>78</v>
      </c>
      <c r="N15" s="1350">
        <f t="shared" si="43"/>
        <v>77</v>
      </c>
      <c r="O15" s="1350">
        <f t="shared" si="31"/>
        <v>76</v>
      </c>
      <c r="P15" s="1350">
        <f t="shared" si="32"/>
        <v>75</v>
      </c>
      <c r="Q15" s="1350">
        <f t="shared" si="33"/>
        <v>74</v>
      </c>
      <c r="R15" s="1350">
        <f t="shared" si="34"/>
        <v>73</v>
      </c>
      <c r="W15" s="2584"/>
      <c r="X15" s="1352">
        <v>4000</v>
      </c>
      <c r="Y15" s="1352">
        <v>133</v>
      </c>
      <c r="Z15" s="1352">
        <f t="shared" si="44"/>
        <v>122</v>
      </c>
      <c r="AA15" s="1352">
        <v>111</v>
      </c>
      <c r="AB15" s="1352">
        <f t="shared" si="45"/>
        <v>100</v>
      </c>
      <c r="AC15" s="1352">
        <v>89</v>
      </c>
      <c r="AD15" s="1352">
        <f t="shared" si="46"/>
        <v>86.5</v>
      </c>
      <c r="AE15" s="1352">
        <v>84</v>
      </c>
      <c r="AF15" s="1352">
        <f t="shared" si="47"/>
        <v>82</v>
      </c>
      <c r="AG15" s="1352">
        <v>80</v>
      </c>
      <c r="AH15" s="1352">
        <f t="shared" si="48"/>
        <v>79</v>
      </c>
      <c r="AI15" s="1352">
        <v>78</v>
      </c>
      <c r="AJ15" s="1350">
        <f t="shared" si="49"/>
        <v>77</v>
      </c>
      <c r="AK15" s="1350">
        <f t="shared" si="35"/>
        <v>76</v>
      </c>
      <c r="AL15" s="1350">
        <f t="shared" si="36"/>
        <v>75</v>
      </c>
      <c r="AM15" s="1350">
        <f t="shared" si="37"/>
        <v>74</v>
      </c>
      <c r="AN15" s="1350">
        <f t="shared" si="38"/>
        <v>73</v>
      </c>
      <c r="AO15" s="13"/>
      <c r="AP15" s="1424"/>
      <c r="AQ15" s="2584"/>
      <c r="AR15" s="1352">
        <v>4000</v>
      </c>
      <c r="AS15" s="1352">
        <v>133</v>
      </c>
      <c r="AT15" s="1352">
        <f t="shared" si="50"/>
        <v>122</v>
      </c>
      <c r="AU15" s="1352">
        <v>111</v>
      </c>
      <c r="AV15" s="1352">
        <f t="shared" si="51"/>
        <v>100</v>
      </c>
      <c r="AW15" s="1352">
        <v>89</v>
      </c>
      <c r="AX15" s="1352">
        <f t="shared" si="52"/>
        <v>86.5</v>
      </c>
      <c r="AY15" s="1352">
        <v>84</v>
      </c>
      <c r="AZ15" s="1352">
        <f t="shared" si="53"/>
        <v>82</v>
      </c>
      <c r="BA15" s="1352">
        <v>80</v>
      </c>
      <c r="BB15" s="1352">
        <f t="shared" si="54"/>
        <v>79</v>
      </c>
      <c r="BC15" s="1352">
        <v>78</v>
      </c>
      <c r="BD15" s="1350">
        <f t="shared" si="55"/>
        <v>77</v>
      </c>
      <c r="BE15" s="1350">
        <f t="shared" si="39"/>
        <v>76</v>
      </c>
      <c r="BF15" s="1350">
        <f t="shared" si="40"/>
        <v>75</v>
      </c>
      <c r="BG15" s="1350">
        <f t="shared" si="41"/>
        <v>74</v>
      </c>
      <c r="BH15" s="1350">
        <f t="shared" si="42"/>
        <v>73</v>
      </c>
      <c r="BI15" s="13"/>
    </row>
    <row r="16" spans="1:61" ht="16.5" customHeight="1" x14ac:dyDescent="0.25">
      <c r="A16" s="2584"/>
      <c r="B16" s="1352">
        <v>5000</v>
      </c>
      <c r="C16" s="1352">
        <v>167</v>
      </c>
      <c r="D16" s="1352">
        <f t="shared" si="26"/>
        <v>153</v>
      </c>
      <c r="E16" s="1352">
        <v>139</v>
      </c>
      <c r="F16" s="1352">
        <f t="shared" si="27"/>
        <v>125</v>
      </c>
      <c r="G16" s="1352">
        <v>111</v>
      </c>
      <c r="H16" s="1352">
        <f t="shared" si="28"/>
        <v>108.5</v>
      </c>
      <c r="I16" s="1352">
        <v>106</v>
      </c>
      <c r="J16" s="1352">
        <f t="shared" si="29"/>
        <v>103</v>
      </c>
      <c r="K16" s="1352">
        <v>100</v>
      </c>
      <c r="L16" s="1352">
        <f t="shared" si="30"/>
        <v>98.5</v>
      </c>
      <c r="M16" s="1352">
        <v>97</v>
      </c>
      <c r="N16" s="1350">
        <f t="shared" si="43"/>
        <v>95.5</v>
      </c>
      <c r="O16" s="1350">
        <f t="shared" si="31"/>
        <v>94</v>
      </c>
      <c r="P16" s="1350">
        <f t="shared" si="32"/>
        <v>92.5</v>
      </c>
      <c r="Q16" s="1350">
        <f t="shared" si="33"/>
        <v>91</v>
      </c>
      <c r="R16" s="1350">
        <f t="shared" si="34"/>
        <v>89.5</v>
      </c>
      <c r="W16" s="2584"/>
      <c r="X16" s="1352">
        <v>5000</v>
      </c>
      <c r="Y16" s="1352">
        <v>167</v>
      </c>
      <c r="Z16" s="1352">
        <f t="shared" si="44"/>
        <v>153</v>
      </c>
      <c r="AA16" s="1352">
        <v>139</v>
      </c>
      <c r="AB16" s="1352">
        <f t="shared" si="45"/>
        <v>125</v>
      </c>
      <c r="AC16" s="1352">
        <v>111</v>
      </c>
      <c r="AD16" s="1352">
        <f t="shared" si="46"/>
        <v>108.5</v>
      </c>
      <c r="AE16" s="1352">
        <v>106</v>
      </c>
      <c r="AF16" s="1352">
        <f t="shared" si="47"/>
        <v>103</v>
      </c>
      <c r="AG16" s="1352">
        <v>100</v>
      </c>
      <c r="AH16" s="1352">
        <f t="shared" si="48"/>
        <v>98.5</v>
      </c>
      <c r="AI16" s="1352">
        <v>97</v>
      </c>
      <c r="AJ16" s="1350">
        <f t="shared" si="49"/>
        <v>95.5</v>
      </c>
      <c r="AK16" s="1350">
        <f t="shared" si="35"/>
        <v>94</v>
      </c>
      <c r="AL16" s="1350">
        <f t="shared" si="36"/>
        <v>92.5</v>
      </c>
      <c r="AM16" s="1350">
        <f t="shared" si="37"/>
        <v>91</v>
      </c>
      <c r="AN16" s="1350">
        <f t="shared" si="38"/>
        <v>89.5</v>
      </c>
      <c r="AO16" s="13"/>
      <c r="AP16" s="1424"/>
      <c r="AQ16" s="2584"/>
      <c r="AR16" s="1352">
        <v>5000</v>
      </c>
      <c r="AS16" s="1352">
        <v>167</v>
      </c>
      <c r="AT16" s="1352">
        <f t="shared" si="50"/>
        <v>153</v>
      </c>
      <c r="AU16" s="1352">
        <v>139</v>
      </c>
      <c r="AV16" s="1352">
        <f t="shared" si="51"/>
        <v>125</v>
      </c>
      <c r="AW16" s="1352">
        <v>111</v>
      </c>
      <c r="AX16" s="1352">
        <f t="shared" si="52"/>
        <v>108.5</v>
      </c>
      <c r="AY16" s="1352">
        <v>106</v>
      </c>
      <c r="AZ16" s="1352">
        <f t="shared" si="53"/>
        <v>103</v>
      </c>
      <c r="BA16" s="1352">
        <v>100</v>
      </c>
      <c r="BB16" s="1352">
        <f t="shared" si="54"/>
        <v>98.5</v>
      </c>
      <c r="BC16" s="1352">
        <v>97</v>
      </c>
      <c r="BD16" s="1350">
        <f t="shared" si="55"/>
        <v>95.5</v>
      </c>
      <c r="BE16" s="1350">
        <f t="shared" si="39"/>
        <v>94</v>
      </c>
      <c r="BF16" s="1350">
        <f t="shared" si="40"/>
        <v>92.5</v>
      </c>
      <c r="BG16" s="1350">
        <f t="shared" si="41"/>
        <v>91</v>
      </c>
      <c r="BH16" s="1350">
        <f t="shared" si="42"/>
        <v>89.5</v>
      </c>
      <c r="BI16" s="13"/>
    </row>
    <row r="17" spans="1:61" ht="16.5" customHeight="1" x14ac:dyDescent="0.25">
      <c r="A17" s="2584"/>
      <c r="B17" s="1352">
        <v>6000</v>
      </c>
      <c r="C17" s="1352">
        <v>200</v>
      </c>
      <c r="D17" s="1352">
        <f t="shared" si="26"/>
        <v>183.5</v>
      </c>
      <c r="E17" s="1352">
        <v>167</v>
      </c>
      <c r="F17" s="1352">
        <f t="shared" si="27"/>
        <v>150</v>
      </c>
      <c r="G17" s="1352">
        <v>133</v>
      </c>
      <c r="H17" s="1352">
        <f t="shared" si="28"/>
        <v>130</v>
      </c>
      <c r="I17" s="1352">
        <v>127</v>
      </c>
      <c r="J17" s="1352">
        <f t="shared" si="29"/>
        <v>123.5</v>
      </c>
      <c r="K17" s="1352">
        <v>120</v>
      </c>
      <c r="L17" s="1352">
        <f t="shared" si="30"/>
        <v>118.5</v>
      </c>
      <c r="M17" s="1352">
        <v>117</v>
      </c>
      <c r="N17" s="1350">
        <f t="shared" si="43"/>
        <v>115.5</v>
      </c>
      <c r="O17" s="1350">
        <f t="shared" si="31"/>
        <v>114</v>
      </c>
      <c r="P17" s="1350">
        <f t="shared" si="32"/>
        <v>112.5</v>
      </c>
      <c r="Q17" s="1350">
        <f t="shared" si="33"/>
        <v>111</v>
      </c>
      <c r="R17" s="1350">
        <f t="shared" si="34"/>
        <v>109.5</v>
      </c>
      <c r="W17" s="2584"/>
      <c r="X17" s="1352">
        <v>6000</v>
      </c>
      <c r="Y17" s="1352">
        <v>200</v>
      </c>
      <c r="Z17" s="1352">
        <f t="shared" si="44"/>
        <v>183.5</v>
      </c>
      <c r="AA17" s="1352">
        <v>167</v>
      </c>
      <c r="AB17" s="1352">
        <f t="shared" si="45"/>
        <v>150</v>
      </c>
      <c r="AC17" s="1352">
        <v>133</v>
      </c>
      <c r="AD17" s="1352">
        <f t="shared" si="46"/>
        <v>130</v>
      </c>
      <c r="AE17" s="1352">
        <v>127</v>
      </c>
      <c r="AF17" s="1352">
        <f t="shared" si="47"/>
        <v>123.5</v>
      </c>
      <c r="AG17" s="1352">
        <v>120</v>
      </c>
      <c r="AH17" s="1352">
        <f t="shared" si="48"/>
        <v>118.5</v>
      </c>
      <c r="AI17" s="1352">
        <v>117</v>
      </c>
      <c r="AJ17" s="1350">
        <f t="shared" si="49"/>
        <v>115.5</v>
      </c>
      <c r="AK17" s="1350">
        <f t="shared" si="35"/>
        <v>114</v>
      </c>
      <c r="AL17" s="1350">
        <f t="shared" si="36"/>
        <v>112.5</v>
      </c>
      <c r="AM17" s="1350">
        <f t="shared" si="37"/>
        <v>111</v>
      </c>
      <c r="AN17" s="1350">
        <f t="shared" si="38"/>
        <v>109.5</v>
      </c>
      <c r="AO17" s="13"/>
      <c r="AP17" s="1424"/>
      <c r="AQ17" s="2584"/>
      <c r="AR17" s="1352">
        <v>6000</v>
      </c>
      <c r="AS17" s="1352">
        <v>200</v>
      </c>
      <c r="AT17" s="1352">
        <f t="shared" si="50"/>
        <v>183.5</v>
      </c>
      <c r="AU17" s="1352">
        <v>167</v>
      </c>
      <c r="AV17" s="1352">
        <f t="shared" si="51"/>
        <v>150</v>
      </c>
      <c r="AW17" s="1352">
        <v>133</v>
      </c>
      <c r="AX17" s="1352">
        <f t="shared" si="52"/>
        <v>130</v>
      </c>
      <c r="AY17" s="1352">
        <v>127</v>
      </c>
      <c r="AZ17" s="1352">
        <f t="shared" si="53"/>
        <v>123.5</v>
      </c>
      <c r="BA17" s="1352">
        <v>120</v>
      </c>
      <c r="BB17" s="1352">
        <f t="shared" si="54"/>
        <v>118.5</v>
      </c>
      <c r="BC17" s="1352">
        <v>117</v>
      </c>
      <c r="BD17" s="1350">
        <f t="shared" si="55"/>
        <v>115.5</v>
      </c>
      <c r="BE17" s="1350">
        <f t="shared" si="39"/>
        <v>114</v>
      </c>
      <c r="BF17" s="1350">
        <f t="shared" si="40"/>
        <v>112.5</v>
      </c>
      <c r="BG17" s="1350">
        <f t="shared" si="41"/>
        <v>111</v>
      </c>
      <c r="BH17" s="1350">
        <f t="shared" si="42"/>
        <v>109.5</v>
      </c>
      <c r="BI17" s="13"/>
    </row>
    <row r="18" spans="1:61" ht="16.5" customHeight="1" x14ac:dyDescent="0.25">
      <c r="A18" s="2584"/>
      <c r="B18" s="1352">
        <v>8000</v>
      </c>
      <c r="C18" s="1352">
        <v>253</v>
      </c>
      <c r="D18" s="1352">
        <f t="shared" si="26"/>
        <v>232</v>
      </c>
      <c r="E18" s="1352">
        <v>211</v>
      </c>
      <c r="F18" s="1352">
        <f t="shared" si="27"/>
        <v>190</v>
      </c>
      <c r="G18" s="1352">
        <v>169</v>
      </c>
      <c r="H18" s="1352">
        <f t="shared" si="28"/>
        <v>164.5</v>
      </c>
      <c r="I18" s="1352">
        <v>160</v>
      </c>
      <c r="J18" s="1352">
        <f t="shared" si="29"/>
        <v>156</v>
      </c>
      <c r="K18" s="1352">
        <v>152</v>
      </c>
      <c r="L18" s="1352">
        <f t="shared" si="30"/>
        <v>150</v>
      </c>
      <c r="M18" s="1352">
        <v>148</v>
      </c>
      <c r="N18" s="1350">
        <f t="shared" si="43"/>
        <v>146</v>
      </c>
      <c r="O18" s="1350">
        <f t="shared" si="31"/>
        <v>144</v>
      </c>
      <c r="P18" s="1350">
        <f t="shared" si="32"/>
        <v>142</v>
      </c>
      <c r="Q18" s="1350">
        <f t="shared" si="33"/>
        <v>140</v>
      </c>
      <c r="R18" s="1350">
        <f t="shared" si="34"/>
        <v>138</v>
      </c>
      <c r="W18" s="2584"/>
      <c r="X18" s="1352">
        <v>8000</v>
      </c>
      <c r="Y18" s="1352">
        <v>253</v>
      </c>
      <c r="Z18" s="1352">
        <f t="shared" si="44"/>
        <v>232</v>
      </c>
      <c r="AA18" s="1352">
        <v>211</v>
      </c>
      <c r="AB18" s="1352">
        <f t="shared" si="45"/>
        <v>190</v>
      </c>
      <c r="AC18" s="1352">
        <v>169</v>
      </c>
      <c r="AD18" s="1352">
        <f t="shared" si="46"/>
        <v>164.5</v>
      </c>
      <c r="AE18" s="1352">
        <v>160</v>
      </c>
      <c r="AF18" s="1352">
        <f t="shared" si="47"/>
        <v>156</v>
      </c>
      <c r="AG18" s="1352">
        <v>152</v>
      </c>
      <c r="AH18" s="1352">
        <f t="shared" si="48"/>
        <v>150</v>
      </c>
      <c r="AI18" s="1352">
        <v>148</v>
      </c>
      <c r="AJ18" s="1350">
        <f t="shared" si="49"/>
        <v>146</v>
      </c>
      <c r="AK18" s="1350">
        <f t="shared" si="35"/>
        <v>144</v>
      </c>
      <c r="AL18" s="1350">
        <f t="shared" si="36"/>
        <v>142</v>
      </c>
      <c r="AM18" s="1350">
        <f t="shared" si="37"/>
        <v>140</v>
      </c>
      <c r="AN18" s="1350">
        <f t="shared" si="38"/>
        <v>138</v>
      </c>
      <c r="AO18" s="13"/>
      <c r="AP18" s="1424"/>
      <c r="AQ18" s="2584"/>
      <c r="AR18" s="1352">
        <v>8000</v>
      </c>
      <c r="AS18" s="1352">
        <v>253</v>
      </c>
      <c r="AT18" s="1352">
        <f t="shared" si="50"/>
        <v>232</v>
      </c>
      <c r="AU18" s="1352">
        <v>211</v>
      </c>
      <c r="AV18" s="1352">
        <f t="shared" si="51"/>
        <v>190</v>
      </c>
      <c r="AW18" s="1352">
        <v>169</v>
      </c>
      <c r="AX18" s="1352">
        <f t="shared" si="52"/>
        <v>164.5</v>
      </c>
      <c r="AY18" s="1352">
        <v>160</v>
      </c>
      <c r="AZ18" s="1352">
        <f t="shared" si="53"/>
        <v>156</v>
      </c>
      <c r="BA18" s="1352">
        <v>152</v>
      </c>
      <c r="BB18" s="1352">
        <f t="shared" si="54"/>
        <v>150</v>
      </c>
      <c r="BC18" s="1352">
        <v>148</v>
      </c>
      <c r="BD18" s="1350">
        <f t="shared" si="55"/>
        <v>146</v>
      </c>
      <c r="BE18" s="1350">
        <f t="shared" si="39"/>
        <v>144</v>
      </c>
      <c r="BF18" s="1350">
        <f t="shared" si="40"/>
        <v>142</v>
      </c>
      <c r="BG18" s="1350">
        <f t="shared" si="41"/>
        <v>140</v>
      </c>
      <c r="BH18" s="1350">
        <f t="shared" si="42"/>
        <v>138</v>
      </c>
      <c r="BI18" s="13"/>
    </row>
    <row r="19" spans="1:61" ht="16.5" customHeight="1" x14ac:dyDescent="0.25">
      <c r="A19" s="2584"/>
      <c r="B19" s="1352">
        <v>10000</v>
      </c>
      <c r="C19" s="1352">
        <v>317</v>
      </c>
      <c r="D19" s="1352">
        <f t="shared" si="26"/>
        <v>290.5</v>
      </c>
      <c r="E19" s="1352">
        <v>264</v>
      </c>
      <c r="F19" s="1352">
        <f t="shared" si="27"/>
        <v>237.5</v>
      </c>
      <c r="G19" s="1352">
        <v>211</v>
      </c>
      <c r="H19" s="1352">
        <f t="shared" si="28"/>
        <v>206</v>
      </c>
      <c r="I19" s="1352">
        <v>201</v>
      </c>
      <c r="J19" s="1352">
        <f t="shared" si="29"/>
        <v>195.5</v>
      </c>
      <c r="K19" s="1352">
        <v>190</v>
      </c>
      <c r="L19" s="1352">
        <f t="shared" si="30"/>
        <v>187.5</v>
      </c>
      <c r="M19" s="1352">
        <v>185</v>
      </c>
      <c r="N19" s="1350">
        <f t="shared" si="43"/>
        <v>182.5</v>
      </c>
      <c r="O19" s="1350">
        <f t="shared" si="31"/>
        <v>180</v>
      </c>
      <c r="P19" s="1350">
        <f t="shared" si="32"/>
        <v>177.5</v>
      </c>
      <c r="Q19" s="1350">
        <f t="shared" si="33"/>
        <v>175</v>
      </c>
      <c r="R19" s="1350">
        <f t="shared" si="34"/>
        <v>172.5</v>
      </c>
      <c r="W19" s="2584"/>
      <c r="X19" s="1352">
        <v>10000</v>
      </c>
      <c r="Y19" s="1352">
        <v>317</v>
      </c>
      <c r="Z19" s="1352">
        <f t="shared" si="44"/>
        <v>290.5</v>
      </c>
      <c r="AA19" s="1352">
        <v>264</v>
      </c>
      <c r="AB19" s="1352">
        <f t="shared" si="45"/>
        <v>237.5</v>
      </c>
      <c r="AC19" s="1352">
        <v>211</v>
      </c>
      <c r="AD19" s="1352">
        <f t="shared" si="46"/>
        <v>206</v>
      </c>
      <c r="AE19" s="1352">
        <v>201</v>
      </c>
      <c r="AF19" s="1352">
        <f t="shared" si="47"/>
        <v>195.5</v>
      </c>
      <c r="AG19" s="1352">
        <v>190</v>
      </c>
      <c r="AH19" s="1352">
        <f t="shared" si="48"/>
        <v>187.5</v>
      </c>
      <c r="AI19" s="1352">
        <v>185</v>
      </c>
      <c r="AJ19" s="1350">
        <f t="shared" si="49"/>
        <v>182.5</v>
      </c>
      <c r="AK19" s="1350">
        <f t="shared" si="35"/>
        <v>180</v>
      </c>
      <c r="AL19" s="1350">
        <f t="shared" si="36"/>
        <v>177.5</v>
      </c>
      <c r="AM19" s="1350">
        <f t="shared" si="37"/>
        <v>175</v>
      </c>
      <c r="AN19" s="1350">
        <f t="shared" si="38"/>
        <v>172.5</v>
      </c>
      <c r="AO19" s="13"/>
      <c r="AP19" s="1424"/>
      <c r="AQ19" s="2584"/>
      <c r="AR19" s="1352">
        <v>10000</v>
      </c>
      <c r="AS19" s="1352">
        <v>317</v>
      </c>
      <c r="AT19" s="1352">
        <f t="shared" si="50"/>
        <v>290.5</v>
      </c>
      <c r="AU19" s="1352">
        <v>264</v>
      </c>
      <c r="AV19" s="1352">
        <f t="shared" si="51"/>
        <v>237.5</v>
      </c>
      <c r="AW19" s="1352">
        <v>211</v>
      </c>
      <c r="AX19" s="1352">
        <f t="shared" si="52"/>
        <v>206</v>
      </c>
      <c r="AY19" s="1352">
        <v>201</v>
      </c>
      <c r="AZ19" s="1352">
        <f t="shared" si="53"/>
        <v>195.5</v>
      </c>
      <c r="BA19" s="1352">
        <v>190</v>
      </c>
      <c r="BB19" s="1352">
        <f t="shared" si="54"/>
        <v>187.5</v>
      </c>
      <c r="BC19" s="1352">
        <v>185</v>
      </c>
      <c r="BD19" s="1350">
        <f t="shared" si="55"/>
        <v>182.5</v>
      </c>
      <c r="BE19" s="1350">
        <f t="shared" si="39"/>
        <v>180</v>
      </c>
      <c r="BF19" s="1350">
        <f t="shared" si="40"/>
        <v>177.5</v>
      </c>
      <c r="BG19" s="1350">
        <f t="shared" si="41"/>
        <v>175</v>
      </c>
      <c r="BH19" s="1350">
        <f t="shared" si="42"/>
        <v>172.5</v>
      </c>
      <c r="BI19" s="13"/>
    </row>
    <row r="20" spans="1:61" s="13" customFormat="1" ht="16.5" customHeight="1" x14ac:dyDescent="0.25">
      <c r="A20" s="1353" t="s">
        <v>1262</v>
      </c>
      <c r="B20" s="1352">
        <f ca="1">'Ввод исходных данных'!G285</f>
        <v>5596.7999999999993</v>
      </c>
      <c r="C20" s="1352">
        <f>IF('Ввод исходных данных'!$D$19&lt;='классы ЭЭ и выбросы ПГ'!C$4,IF($B20&lt;3000,SLOPE(C13:C14,$B13:$B14)+INTERCEPT(C13:C14,$B13:$B14)*$B20,SLOPE(C14:C19,$B14:$B19)*$B20+INTERCEPT(C14:C19,$B14:$B19)),0)</f>
        <v>0</v>
      </c>
      <c r="D20" s="1352">
        <f>IF('Ввод исходных данных'!$D$19='классы ЭЭ и выбросы ПГ'!D$4,IF($B20&lt;3000,SLOPE(D13:D14,$B13:$B14)+INTERCEPT(D13:D14,$B13:$B14)*$B20,SLOPE(D14:D19,$B14:$B19)*$B20+INTERCEPT(D14:D19,$B14:$B19)),0)</f>
        <v>0</v>
      </c>
      <c r="E20" s="1352">
        <f>IF('Ввод исходных данных'!$D$19='классы ЭЭ и выбросы ПГ'!E$4,IF($B20&lt;3000,SLOPE(E13:E14,$B13:$B14)+INTERCEPT(E13:E14,$B13:$B14)*$B20,SLOPE(E14:E19,$B14:$B19)*$B20+INTERCEPT(E14:E19,$B14:$B19)),0)</f>
        <v>0</v>
      </c>
      <c r="F20" s="1352">
        <f ca="1">IF('Ввод исходных данных'!$D$19='классы ЭЭ и выбросы ПГ'!F$4,IF($B20&lt;3000,SLOPE(F13:F14,$B13:$B14)+INTERCEPT(F13:F14,$B13:$B14)*$B20,SLOPE(F14:F19,$B14:$B19)*$B20+INTERCEPT(F14:F19,$B14:$B19)),0)</f>
        <v>137.0001176470588</v>
      </c>
      <c r="G20" s="1352">
        <f>IF('Ввод исходных данных'!$D$19='классы ЭЭ и выбросы ПГ'!G$4,IF($B20&lt;3000,SLOPE(G13:G14,$B13:$B14)+INTERCEPT(G13:G14,$B13:$B14)*$B20,SLOPE(G14:G19,$B14:$B19)*$B20+INTERCEPT(G14:G19,$B14:$B19)),0)</f>
        <v>0</v>
      </c>
      <c r="H20" s="1352">
        <f>IF('Ввод исходных данных'!$D$19='классы ЭЭ и выбросы ПГ'!H$4,IF($B20&lt;3000,SLOPE(H13:H14,$B13:$B14)+INTERCEPT(H13:H14,$B13:$B14)*$B20,SLOPE(H14:H19,$B14:$B19)*$B20+INTERCEPT(H14:H19,$B14:$B19)),0)</f>
        <v>0</v>
      </c>
      <c r="I20" s="1352">
        <f>IF('Ввод исходных данных'!$D$19='классы ЭЭ и выбросы ПГ'!I$4,IF($B20&lt;3000,SLOPE(I13:I14,$B13:$B14)+INTERCEPT(I13:I14,$B13:$B14)*$B20,SLOPE(I14:I19,$B14:$B19)*$B20+INTERCEPT(I14:I19,$B14:$B19)),0)</f>
        <v>0</v>
      </c>
      <c r="J20" s="1352">
        <f>IF('Ввод исходных данных'!$D$19='классы ЭЭ и выбросы ПГ'!J$4,IF($B20&lt;3000,SLOPE(J13:J14,$B13:$B14)+INTERCEPT(J13:J14,$B13:$B14)*$B20,SLOPE(J14:J19,$B14:$B19)*$B20+INTERCEPT(J14:J19,$B14:$B19)),0)</f>
        <v>0</v>
      </c>
      <c r="K20" s="1352">
        <f>IF('Ввод исходных данных'!$D$19='классы ЭЭ и выбросы ПГ'!K$4,IF($B20&lt;3000,SLOPE(K13:K14,$B13:$B14)+INTERCEPT(K13:K14,$B13:$B14)*$B20,SLOPE(K14:K19,$B14:$B19)*$B20+INTERCEPT(K14:K19,$B14:$B19)),0)</f>
        <v>0</v>
      </c>
      <c r="L20" s="1352">
        <f>IF('Ввод исходных данных'!$D$19='классы ЭЭ и выбросы ПГ'!L$4,IF($B20&lt;3000,SLOPE(L13:L14,$B13:$B14)+INTERCEPT(L13:L14,$B13:$B14)*$B20,SLOPE(L14:L19,$B14:$B19)*$B20+INTERCEPT(L14:L19,$B14:$B19)),0)</f>
        <v>0</v>
      </c>
      <c r="M20" s="1352">
        <f>IF('Ввод исходных данных'!$D$19='классы ЭЭ и выбросы ПГ'!M$4,IF($B20&lt;3000,SLOPE(M13:M14,$B13:$B14)+INTERCEPT(M13:M14,$B13:$B14)*$B20,SLOPE(M14:M19,$B14:$B19)*$B20+INTERCEPT(M14:M19,$B14:$B19)),0)</f>
        <v>0</v>
      </c>
      <c r="N20" s="1352">
        <f>IF('Ввод исходных данных'!$D$19='классы ЭЭ и выбросы ПГ'!N$4,IF($B20&lt;3000,SLOPE(N13:N14,$B13:$B14)+INTERCEPT(N13:N14,$B13:$B14)*$B20,SLOPE(N14:N19,$B14:$B19)*$B20+INTERCEPT(N14:N19,$B14:$B19)),0)</f>
        <v>0</v>
      </c>
      <c r="O20" s="1352">
        <f>IF('Ввод исходных данных'!$D$19='классы ЭЭ и выбросы ПГ'!O$4,IF($B20&lt;3000,SLOPE(O13:O14,$B13:$B14)+INTERCEPT(O13:O14,$B13:$B14)*$B20,SLOPE(O14:O19,$B14:$B19)*$B20+INTERCEPT(O14:O19,$B14:$B19)),0)</f>
        <v>0</v>
      </c>
      <c r="P20" s="1352">
        <f>IF('Ввод исходных данных'!$D$19='классы ЭЭ и выбросы ПГ'!P$4,IF($B20&lt;3000,SLOPE(P13:P14,$B13:$B14)+INTERCEPT(P13:P14,$B13:$B14)*$B20,SLOPE(P14:P19,$B14:$B19)*$B20+INTERCEPT(P14:P19,$B14:$B19)),0)</f>
        <v>0</v>
      </c>
      <c r="Q20" s="1352">
        <f>IF('Ввод исходных данных'!$D$19='классы ЭЭ и выбросы ПГ'!Q$4,IF($B20&lt;3000,SLOPE(Q13:Q14,$B13:$B14)+INTERCEPT(Q13:Q14,$B13:$B14)*$B20,SLOPE(Q14:Q19,$B14:$B19)*$B20+INTERCEPT(Q14:Q19,$B14:$B19)),0)</f>
        <v>0</v>
      </c>
      <c r="R20" s="1352">
        <f>IF('Ввод исходных данных'!$D$19&gt;='классы ЭЭ и выбросы ПГ'!R$4,IF($B20&lt;3000,SLOPE(R13:R14,$B13:$B14)+INTERCEPT(R13:R14,$B13:$B14)*$B20,SLOPE(R14:R19,$B14:$B19)*$B20+INTERCEPT(R14:R19,$B14:$B19)),0)</f>
        <v>0</v>
      </c>
      <c r="S20" s="1354">
        <f ca="1">SUM(C20:R20)</f>
        <v>137.0001176470588</v>
      </c>
      <c r="W20" s="1372" t="s">
        <v>1262</v>
      </c>
      <c r="X20" s="1352" t="str">
        <f>'Рейтинг МКД'!$D$11</f>
        <v/>
      </c>
      <c r="Y20" s="1352" t="e">
        <f>IF('Рейтинг МКД'!$D$13&lt;='классы ЭЭ и выбросы ПГ'!Y$4,IF($X20&lt;3000,SLOPE(Y13:Y14,$X13:$X14)*$X20+INTERCEPT(Y13:Y14,$X13:$X14),SLOPE(Y14:Y19,$X14:$X19)*$X20+INTERCEPT(Y14:Y19,$X14:$X19)),0)</f>
        <v>#VALUE!</v>
      </c>
      <c r="Z20" s="1352">
        <f>IF('Рейтинг МКД'!$D$13='классы ЭЭ и выбросы ПГ'!Z$4,IF($X20&lt;3000,SLOPE(Z13:Z14,$X13:$X14)*$X20+INTERCEPT(Z13:Z14,$X13:$X14),SLOPE(Z14:Z19,$X14:$X19)*$X20+INTERCEPT(Z14:Z19,$X14:$X19)),0)</f>
        <v>0</v>
      </c>
      <c r="AA20" s="1352">
        <f>IF('Рейтинг МКД'!$D$13='классы ЭЭ и выбросы ПГ'!AA$4,IF($X20&lt;3000,SLOPE(AA13:AA14,$X13:$X14)*$X20+INTERCEPT(AA13:AA14,$X13:$X14),SLOPE(AA14:AA19,$X14:$X19)*$X20+INTERCEPT(AA14:AA19,$X14:$X19)),0)</f>
        <v>0</v>
      </c>
      <c r="AB20" s="1352">
        <f>IF('Рейтинг МКД'!$D$13='классы ЭЭ и выбросы ПГ'!AB$4,IF($X20&lt;3000,SLOPE(AB13:AB14,$X13:$X14)*$X20+INTERCEPT(AB13:AB14,$X13:$X14),SLOPE(AB14:AB19,$X14:$X19)*$X20+INTERCEPT(AB14:AB19,$X14:$X19)),0)</f>
        <v>0</v>
      </c>
      <c r="AC20" s="1352">
        <f>IF('Рейтинг МКД'!$D$13='классы ЭЭ и выбросы ПГ'!AC$4,IF($X20&lt;3000,SLOPE(AC13:AC14,$X13:$X14)*$X20+INTERCEPT(AC13:AC14,$X13:$X14),SLOPE(AC14:AC19,$X14:$X19)*$X20+INTERCEPT(AC14:AC19,$X14:$X19)),0)</f>
        <v>0</v>
      </c>
      <c r="AD20" s="1352">
        <f>IF('Рейтинг МКД'!$D$13='классы ЭЭ и выбросы ПГ'!AD$4,IF($X20&lt;3000,SLOPE(AD13:AD14,$X13:$X14)*$X20+INTERCEPT(AD13:AD14,$X13:$X14),SLOPE(AD14:AD19,$X14:$X19)*$X20+INTERCEPT(AD14:AD19,$X14:$X19)),0)</f>
        <v>0</v>
      </c>
      <c r="AE20" s="1352">
        <f>IF('Рейтинг МКД'!$D$13='классы ЭЭ и выбросы ПГ'!AE$4,IF($X20&lt;3000,SLOPE(AE13:AE14,$X13:$X14)*$X20+INTERCEPT(AE13:AE14,$X13:$X14),SLOPE(AE14:AE19,$X14:$X19)*$X20+INTERCEPT(AE14:AE19,$X14:$X19)),0)</f>
        <v>0</v>
      </c>
      <c r="AF20" s="1352">
        <f>IF('Рейтинг МКД'!$D$13='классы ЭЭ и выбросы ПГ'!AF$4,IF($X20&lt;3000,SLOPE(AF13:AF14,$X13:$X14)*$X20+INTERCEPT(AF13:AF14,$X13:$X14),SLOPE(AF14:AF19,$X14:$X19)*$X20+INTERCEPT(AF14:AF19,$X14:$X19)),0)</f>
        <v>0</v>
      </c>
      <c r="AG20" s="1352">
        <f>IF('Рейтинг МКД'!$D$13='классы ЭЭ и выбросы ПГ'!AG$4,IF($X20&lt;3000,SLOPE(AG13:AG14,$X13:$X14)*$X20+INTERCEPT(AG13:AG14,$X13:$X14),SLOPE(AG14:AG19,$X14:$X19)*$X20+INTERCEPT(AG14:AG19,$X14:$X19)),0)</f>
        <v>0</v>
      </c>
      <c r="AH20" s="1352">
        <f>IF('Рейтинг МКД'!$D$13='классы ЭЭ и выбросы ПГ'!AH$4,IF($X20&lt;3000,SLOPE(AH13:AH14,$X13:$X14)*$X20+INTERCEPT(AH13:AH14,$X13:$X14),SLOPE(AH14:AH19,$X14:$X19)*$X20+INTERCEPT(AH14:AH19,$X14:$X19)),0)</f>
        <v>0</v>
      </c>
      <c r="AI20" s="1352">
        <f>IF('Рейтинг МКД'!$D$13='классы ЭЭ и выбросы ПГ'!AI$4,IF($X20&lt;3000,SLOPE(AI13:AI14,$X13:$X14)*$X20+INTERCEPT(AI13:AI14,$X13:$X14),SLOPE(AI14:AI19,$X14:$X19)*$X20+INTERCEPT(AI14:AI19,$X14:$X19)),0)</f>
        <v>0</v>
      </c>
      <c r="AJ20" s="1352">
        <f>IF('Рейтинг МКД'!$D$13='классы ЭЭ и выбросы ПГ'!AJ$4,IF($X20&lt;3000,SLOPE(AJ13:AJ14,$X13:$X14)*$X20+INTERCEPT(AJ13:AJ14,$X13:$X14),SLOPE(AJ14:AJ19,$X14:$X19)*$X20+INTERCEPT(AJ14:AJ19,$X14:$X19)),0)</f>
        <v>0</v>
      </c>
      <c r="AK20" s="1352">
        <f>IF('Рейтинг МКД'!$D$13='классы ЭЭ и выбросы ПГ'!AK$4,IF($X20&lt;3000,SLOPE(AK13:AK14,$X13:$X14)*$X20+INTERCEPT(AK13:AK14,$X13:$X14),SLOPE(AK14:AK19,$X14:$X19)*$X20+INTERCEPT(AK14:AK19,$X14:$X19)),0)</f>
        <v>0</v>
      </c>
      <c r="AL20" s="1352">
        <f>IF('Рейтинг МКД'!$D$13='классы ЭЭ и выбросы ПГ'!AL$4,IF($X20&lt;3000,SLOPE(AL13:AL14,$X13:$X14)*$X20+INTERCEPT(AL13:AL14,$X13:$X14),SLOPE(AL14:AL19,$X14:$X19)*$X20+INTERCEPT(AL14:AL19,$X14:$X19)),0)</f>
        <v>0</v>
      </c>
      <c r="AM20" s="1352">
        <f>IF('Рейтинг МКД'!$D$13='классы ЭЭ и выбросы ПГ'!AM$4,IF($X20&lt;3000,SLOPE(AM13:AM14,$X13:$X14)*$X20+INTERCEPT(AM13:AM14,$X13:$X14),SLOPE(AM14:AM19,$X14:$X19)*$X20+INTERCEPT(AM14:AM19,$X14:$X19)),0)</f>
        <v>0</v>
      </c>
      <c r="AN20" s="1352">
        <f>IF('Рейтинг МКД'!$D$13&gt;='классы ЭЭ и выбросы ПГ'!AN$4,IF($X20&lt;3000,SLOPE(AN13:AN14,$X13:$X14)*$X20+INTERCEPT(AN13:AN14,$X13:$X14),SLOPE(AN14:AN19,$X14:$X19)*$X20+INTERCEPT(AN14:AN19,$X14:$X19)),0)</f>
        <v>0</v>
      </c>
      <c r="AO20" s="1354" t="e">
        <f>SUM(Y20:AN20)</f>
        <v>#VALUE!</v>
      </c>
      <c r="AQ20" s="1374" t="s">
        <v>1262</v>
      </c>
      <c r="AR20" s="1352">
        <f ca="1">AR12</f>
        <v>5596.7999999999993</v>
      </c>
      <c r="AS20" s="1352">
        <f>IF('Ввод исходных данных'!$D$19&lt;='классы ЭЭ и выбросы ПГ'!AS$4,IF($AR20&lt;3000,SLOPE(AS13:AS14,$AR13:$AR14)+INTERCEPT(AS13:AS14,$AR13:$AR14)*$AR20,SLOPE(AS14:AS19,$AR14:$AR19)*$AR20+INTERCEPT(AS14:AS19,$AR14:$AR19)),0)</f>
        <v>0</v>
      </c>
      <c r="AT20" s="1352">
        <f>IF('Ввод исходных данных'!$D$19='классы ЭЭ и выбросы ПГ'!AT$4,IF($AR20&lt;3000,SLOPE(AT13:AT14,$AR13:$AR14)+INTERCEPT(AT13:AT14,$AR13:$AR14)*$AR20,SLOPE(AT14:AT19,$AR14:$AR19)*$AR20+INTERCEPT(AT14:AT19,$AR14:$AR19)),0)</f>
        <v>0</v>
      </c>
      <c r="AU20" s="1352">
        <f>IF('Ввод исходных данных'!$D$19='классы ЭЭ и выбросы ПГ'!AU$4,IF($AR20&lt;3000,SLOPE(AU13:AU14,$AR13:$AR14)+INTERCEPT(AU13:AU14,$AR13:$AR14)*$AR20,SLOPE(AU14:AU19,$AR14:$AR19)*$AR20+INTERCEPT(AU14:AU19,$AR14:$AR19)),0)</f>
        <v>0</v>
      </c>
      <c r="AV20" s="1352">
        <f ca="1">IF('Ввод исходных данных'!$D$19='классы ЭЭ и выбросы ПГ'!AV$4,IF($AR20&lt;3000,SLOPE(AV13:AV14,$AR13:$AR14)+INTERCEPT(AV13:AV14,$AR13:$AR14)*$AR20,SLOPE(AV14:AV19,$AR14:$AR19)*$AR20+INTERCEPT(AV14:AV19,$AR14:$AR19)),0)</f>
        <v>137.0001176470588</v>
      </c>
      <c r="AW20" s="1352">
        <f>IF('Ввод исходных данных'!$D$19='классы ЭЭ и выбросы ПГ'!AW$4,IF($AR20&lt;3000,SLOPE(AW13:AW14,$AR13:$AR14)+INTERCEPT(AW13:AW14,$AR13:$AR14)*$AR20,SLOPE(AW14:AW19,$AR14:$AR19)*$AR20+INTERCEPT(AW14:AW19,$AR14:$AR19)),0)</f>
        <v>0</v>
      </c>
      <c r="AX20" s="1352">
        <f>IF('Ввод исходных данных'!$D$19='классы ЭЭ и выбросы ПГ'!AX$4,IF($AR20&lt;3000,SLOPE(AX13:AX14,$AR13:$AR14)+INTERCEPT(AX13:AX14,$AR13:$AR14)*$AR20,SLOPE(AX14:AX19,$AR14:$AR19)*$AR20+INTERCEPT(AX14:AX19,$AR14:$AR19)),0)</f>
        <v>0</v>
      </c>
      <c r="AY20" s="1352">
        <f>IF('Ввод исходных данных'!$D$19='классы ЭЭ и выбросы ПГ'!AY$4,IF($AR20&lt;3000,SLOPE(AY13:AY14,$AR13:$AR14)+INTERCEPT(AY13:AY14,$AR13:$AR14)*$AR20,SLOPE(AY14:AY19,$AR14:$AR19)*$AR20+INTERCEPT(AY14:AY19,$AR14:$AR19)),0)</f>
        <v>0</v>
      </c>
      <c r="AZ20" s="1352">
        <f>IF('Ввод исходных данных'!$D$19='классы ЭЭ и выбросы ПГ'!AZ$4,IF($AR20&lt;3000,SLOPE(AZ13:AZ14,$AR13:$AR14)+INTERCEPT(AZ13:AZ14,$AR13:$AR14)*$AR20,SLOPE(AZ14:AZ19,$AR14:$AR19)*$AR20+INTERCEPT(AZ14:AZ19,$AR14:$AR19)),0)</f>
        <v>0</v>
      </c>
      <c r="BA20" s="1352">
        <f>IF('Ввод исходных данных'!$D$19='классы ЭЭ и выбросы ПГ'!BA$4,IF($AR20&lt;3000,SLOPE(BA13:BA14,$AR13:$AR14)+INTERCEPT(BA13:BA14,$AR13:$AR14)*$AR20,SLOPE(BA14:BA19,$AR14:$AR19)*$AR20+INTERCEPT(BA14:BA19,$AR14:$AR19)),0)</f>
        <v>0</v>
      </c>
      <c r="BB20" s="1352">
        <f>IF('Ввод исходных данных'!$D$19='классы ЭЭ и выбросы ПГ'!BB$4,IF($AR20&lt;3000,SLOPE(BB13:BB14,$AR13:$AR14)+INTERCEPT(BB13:BB14,$AR13:$AR14)*$AR20,SLOPE(BB14:BB19,$AR14:$AR19)*$AR20+INTERCEPT(BB14:BB19,$AR14:$AR19)),0)</f>
        <v>0</v>
      </c>
      <c r="BC20" s="1352">
        <f>IF('Ввод исходных данных'!$D$19='классы ЭЭ и выбросы ПГ'!BC$4,IF($AR20&lt;3000,SLOPE(BC13:BC14,$AR13:$AR14)+INTERCEPT(BC13:BC14,$AR13:$AR14)*$AR20,SLOPE(BC14:BC19,$AR14:$AR19)*$AR20+INTERCEPT(BC14:BC19,$AR14:$AR19)),0)</f>
        <v>0</v>
      </c>
      <c r="BD20" s="1352">
        <f>IF('Ввод исходных данных'!$D$19='классы ЭЭ и выбросы ПГ'!BD$4,IF($AR20&lt;3000,SLOPE(BD13:BD14,$AR13:$AR14)+INTERCEPT(BD13:BD14,$AR13:$AR14)*$AR20,SLOPE(BD14:BD19,$AR14:$AR19)*$AR20+INTERCEPT(BD14:BD19,$AR14:$AR19)),0)</f>
        <v>0</v>
      </c>
      <c r="BE20" s="1352">
        <f>IF('Ввод исходных данных'!$D$19='классы ЭЭ и выбросы ПГ'!BE$4,IF($AR20&lt;3000,SLOPE(BE13:BE14,$AR13:$AR14)+INTERCEPT(BE13:BE14,$AR13:$AR14)*$AR20,SLOPE(BE14:BE19,$AR14:$AR19)*$AR20+INTERCEPT(BE14:BE19,$AR14:$AR19)),0)</f>
        <v>0</v>
      </c>
      <c r="BF20" s="1352">
        <f>IF('Ввод исходных данных'!$D$19='классы ЭЭ и выбросы ПГ'!BF$4,IF($AR20&lt;3000,SLOPE(BF13:BF14,$AR13:$AR14)+INTERCEPT(BF13:BF14,$AR13:$AR14)*$AR20,SLOPE(BF14:BF19,$AR14:$AR19)*$AR20+INTERCEPT(BF14:BF19,$AR14:$AR19)),0)</f>
        <v>0</v>
      </c>
      <c r="BG20" s="1352">
        <f>IF('Ввод исходных данных'!$D$19='классы ЭЭ и выбросы ПГ'!BG$4,IF($AR20&lt;3000,SLOPE(BG13:BG14,$AR13:$AR14)+INTERCEPT(BG13:BG14,$AR13:$AR14)*$AR20,SLOPE(BG14:BG19,$AR14:$AR19)*$AR20+INTERCEPT(BG14:BG19,$AR14:$AR19)),0)</f>
        <v>0</v>
      </c>
      <c r="BH20" s="1352">
        <f>IF('Ввод исходных данных'!$D$19&gt;='классы ЭЭ и выбросы ПГ'!BH$4,IF($AR20&lt;3000,SLOPE(BH13:BH14,$AR13:$AR14)+INTERCEPT(BH13:BH14,$AR13:$AR14)*$AR20,SLOPE(BH14:BH19,$AR14:$AR19)*$AR20+INTERCEPT(BH14:BH19,$AR14:$AR19)),0)</f>
        <v>0</v>
      </c>
      <c r="BI20" s="1354">
        <f ca="1">SUM(AS20:BH20)</f>
        <v>137.0001176470588</v>
      </c>
    </row>
    <row r="21" spans="1:61" ht="16.5" customHeight="1" x14ac:dyDescent="0.25">
      <c r="A21" s="1349" t="s">
        <v>1784</v>
      </c>
      <c r="B21" s="1347"/>
      <c r="C21" s="1347"/>
      <c r="D21" s="1347"/>
      <c r="E21" s="1347"/>
      <c r="F21" s="1347"/>
      <c r="G21" s="1347"/>
      <c r="H21" s="1347"/>
      <c r="I21" s="1347"/>
      <c r="J21" s="1347"/>
      <c r="K21" s="1347"/>
      <c r="L21" s="1347"/>
      <c r="M21" s="1347"/>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49" t="s">
        <v>1785</v>
      </c>
      <c r="B22" s="1347"/>
      <c r="C22" s="1347"/>
      <c r="D22" s="1347"/>
      <c r="E22" s="1347"/>
      <c r="F22" s="1347"/>
      <c r="G22" s="1347"/>
      <c r="H22" s="1347"/>
      <c r="I22" s="1347"/>
      <c r="J22" s="1347"/>
      <c r="K22" s="1347"/>
      <c r="L22" s="1347"/>
      <c r="M22" s="1347"/>
      <c r="AQ22" s="13"/>
      <c r="AR22" s="13"/>
      <c r="AS22" s="13">
        <f ca="1">'Расчет после реализации'!D6/('Ввод исходных данных'!$G$56+'Ввод исходных данных'!$D$23)</f>
        <v>303.45692315768929</v>
      </c>
      <c r="AT22" s="13"/>
      <c r="AU22" s="13"/>
      <c r="AV22" s="13"/>
      <c r="AW22" s="13"/>
      <c r="AX22" s="13"/>
      <c r="AY22" s="13"/>
      <c r="AZ22" s="13"/>
      <c r="BA22" s="13"/>
      <c r="BB22" s="13"/>
      <c r="BC22" s="13"/>
      <c r="BD22" s="13"/>
      <c r="BE22" s="13"/>
      <c r="BF22" s="13"/>
      <c r="BG22" s="13"/>
      <c r="BH22" s="13"/>
      <c r="BI22" s="13"/>
    </row>
    <row r="23" spans="1:61" ht="16.5" customHeight="1" x14ac:dyDescent="0.25">
      <c r="A23" s="1349" t="s">
        <v>1786</v>
      </c>
      <c r="B23" s="1347"/>
      <c r="C23" s="1347"/>
      <c r="D23" s="1347"/>
      <c r="E23" s="1347"/>
      <c r="F23" s="1347"/>
      <c r="G23" s="1347"/>
      <c r="H23" s="1347"/>
      <c r="I23" s="1347"/>
      <c r="J23" s="1347"/>
      <c r="K23" s="1347"/>
      <c r="L23" s="1347"/>
      <c r="M23" s="1347"/>
      <c r="Y23" t="s">
        <v>1841</v>
      </c>
      <c r="AB23" s="1384"/>
      <c r="AQ23" s="13"/>
      <c r="AR23" s="13"/>
      <c r="AS23" s="13" t="s">
        <v>1841</v>
      </c>
      <c r="AT23" s="13"/>
      <c r="AU23" s="13"/>
      <c r="AV23" s="13"/>
      <c r="AW23" s="13"/>
      <c r="AX23" s="13"/>
      <c r="AY23" s="13"/>
      <c r="AZ23" s="13"/>
      <c r="BA23" s="13"/>
      <c r="BB23" s="13"/>
      <c r="BC23" s="13"/>
      <c r="BD23" s="13"/>
      <c r="BE23" s="13"/>
      <c r="BF23" s="13"/>
      <c r="BG23" s="13"/>
      <c r="BH23" s="13"/>
      <c r="BI23" s="13"/>
    </row>
    <row r="24" spans="1:61" ht="16.5" customHeight="1" x14ac:dyDescent="0.25">
      <c r="A24" s="1939"/>
      <c r="E24" s="13"/>
      <c r="G24" s="13"/>
      <c r="I24" s="13"/>
      <c r="K24" s="13"/>
      <c r="M24" s="13"/>
      <c r="N24" s="13"/>
      <c r="O24" s="13"/>
      <c r="P24" s="13"/>
      <c r="Q24" s="13"/>
      <c r="R24" s="13"/>
      <c r="S24" s="1354"/>
      <c r="X24" s="13" t="str">
        <f>C27</f>
        <v>A++</v>
      </c>
      <c r="Y24" s="1355" t="e">
        <f>IF('Рейтинг МКД'!$D$27&lt;=0.4*'классы ЭЭ и выбросы ПГ'!$AO$12,"A++","")</f>
        <v>#VALUE!</v>
      </c>
      <c r="Z24" s="1356" t="s">
        <v>1797</v>
      </c>
      <c r="AA24" s="1357" t="s">
        <v>1798</v>
      </c>
      <c r="AQ24" s="13"/>
      <c r="AR24" s="13" t="str">
        <f>C27</f>
        <v>A++</v>
      </c>
      <c r="AS24" s="1355" t="str">
        <f ca="1">IF(AS22&lt;=0.4*'классы ЭЭ и выбросы ПГ'!$BI$12,AR24,"")</f>
        <v/>
      </c>
      <c r="AT24" s="1356" t="s">
        <v>1797</v>
      </c>
      <c r="AU24" s="1357" t="s">
        <v>1798</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355" t="e">
        <f>IF(AND('Рейтинг МКД'!$D$27&gt;0.4*'классы ЭЭ и выбросы ПГ'!$AO$12,'Рейтинг МКД'!$D$27&lt;=0.5*'классы ЭЭ и выбросы ПГ'!$AO$12),"A+","")</f>
        <v>#VALUE!</v>
      </c>
      <c r="Z25" s="1356" t="s">
        <v>1797</v>
      </c>
      <c r="AA25" s="1357" t="s">
        <v>1799</v>
      </c>
      <c r="AQ25" s="13"/>
      <c r="AR25" s="13" t="str">
        <f t="shared" ref="AR25:AR32" si="57">C28</f>
        <v>A+</v>
      </c>
      <c r="AS25" s="1355" t="str">
        <f ca="1">IF(AND(AS22&gt;0.4*'классы ЭЭ и выбросы ПГ'!$BI$12,AS22&lt;=0.5*'классы ЭЭ и выбросы ПГ'!$BI$12),AR25,"")</f>
        <v/>
      </c>
      <c r="AT25" s="1356" t="s">
        <v>1797</v>
      </c>
      <c r="AU25" s="1357" t="s">
        <v>1799</v>
      </c>
      <c r="AV25" s="13"/>
      <c r="AW25" s="13"/>
      <c r="AX25" s="13"/>
      <c r="AY25" s="13"/>
      <c r="AZ25" s="13"/>
      <c r="BA25" s="13"/>
      <c r="BB25" s="13"/>
      <c r="BC25" s="13"/>
      <c r="BD25" s="13"/>
      <c r="BE25" s="13"/>
      <c r="BF25" s="13"/>
      <c r="BG25" s="13"/>
      <c r="BH25" s="13"/>
      <c r="BI25" s="13"/>
    </row>
    <row r="26" spans="1:61" ht="16.5" customHeight="1" x14ac:dyDescent="0.25">
      <c r="D26" s="13" t="s">
        <v>893</v>
      </c>
      <c r="E26" s="1355" t="s">
        <v>894</v>
      </c>
      <c r="X26" s="13" t="str">
        <f t="shared" si="56"/>
        <v>A</v>
      </c>
      <c r="Y26" s="1355" t="e">
        <f>IF(AND('Рейтинг МКД'!$D$27&gt;0.5*'классы ЭЭ и выбросы ПГ'!$AO$12,'Рейтинг МКД'!$D$27&lt;=0.6*'классы ЭЭ и выбросы ПГ'!$AO$12),"A","")</f>
        <v>#VALUE!</v>
      </c>
      <c r="Z26" s="1356" t="s">
        <v>1800</v>
      </c>
      <c r="AA26" s="1357" t="s">
        <v>1801</v>
      </c>
      <c r="AQ26" s="13"/>
      <c r="AR26" s="13" t="str">
        <f t="shared" si="57"/>
        <v>A</v>
      </c>
      <c r="AS26" s="1355" t="str">
        <f ca="1">IF(AND(AS22&gt;0.5*'классы ЭЭ и выбросы ПГ'!$BI$12,AS22&lt;=0.6*'классы ЭЭ и выбросы ПГ'!$BI$12),AR26,"")</f>
        <v/>
      </c>
      <c r="AT26" s="1356" t="s">
        <v>1800</v>
      </c>
      <c r="AU26" s="1357" t="s">
        <v>1801</v>
      </c>
      <c r="AV26" s="13"/>
      <c r="AW26" s="13"/>
      <c r="AX26" s="13"/>
      <c r="AY26" s="13"/>
      <c r="AZ26" s="13"/>
      <c r="BA26" s="13"/>
      <c r="BB26" s="13"/>
      <c r="BC26" s="13"/>
      <c r="BD26" s="13"/>
      <c r="BE26" s="13"/>
      <c r="BF26" s="13"/>
      <c r="BG26" s="13"/>
      <c r="BH26" s="13"/>
      <c r="BI26" s="13"/>
    </row>
    <row r="27" spans="1:61" ht="16.5" customHeight="1" x14ac:dyDescent="0.25">
      <c r="C27" t="s">
        <v>1796</v>
      </c>
      <c r="D27" s="1355">
        <f ca="1">IF('Расчет базового уровня'!$D$6/('Ввод исходных данных'!$G$56+'Ввод исходных данных'!$D$23)&lt;=0.4*'классы ЭЭ и выбросы ПГ'!$S$12,1,0)</f>
        <v>0</v>
      </c>
      <c r="E27" s="1355">
        <f ca="1">IF('Расчет после реализации'!$D$6/('Ввод исходных данных'!$G$56+'Ввод исходных данных'!$D$23)&lt;=0.4*'классы ЭЭ и выбросы ПГ'!$S$12,1,0)</f>
        <v>0</v>
      </c>
      <c r="F27" s="1356" t="s">
        <v>1797</v>
      </c>
      <c r="G27" s="1357" t="s">
        <v>1798</v>
      </c>
      <c r="I27" s="1355"/>
      <c r="X27" s="13" t="str">
        <f t="shared" si="56"/>
        <v>B</v>
      </c>
      <c r="Y27" s="1355" t="e">
        <f>IF(AND('Рейтинг МКД'!$D$27&gt;0.6*'классы ЭЭ и выбросы ПГ'!$AO$12,'Рейтинг МКД'!$D$27&lt;=0.7*'классы ЭЭ и выбросы ПГ'!$AO$12),"B","")</f>
        <v>#VALUE!</v>
      </c>
      <c r="Z27" s="1356" t="s">
        <v>1802</v>
      </c>
      <c r="AA27" s="1357" t="s">
        <v>1803</v>
      </c>
      <c r="AQ27" s="13"/>
      <c r="AR27" s="13" t="str">
        <f t="shared" si="57"/>
        <v>B</v>
      </c>
      <c r="AS27" s="1355" t="str">
        <f ca="1">IF(AND(AS22&gt;0.6*'классы ЭЭ и выбросы ПГ'!$BI$12,AS22&lt;=0.7*'классы ЭЭ и выбросы ПГ'!$BI$12),AR27,"")</f>
        <v/>
      </c>
      <c r="AT27" s="1356" t="s">
        <v>1802</v>
      </c>
      <c r="AU27" s="1357" t="s">
        <v>1803</v>
      </c>
      <c r="AV27" s="13"/>
      <c r="AW27" s="13"/>
      <c r="AX27" s="13"/>
      <c r="AY27" s="13"/>
      <c r="AZ27" s="13"/>
      <c r="BA27" s="13"/>
      <c r="BB27" s="13"/>
      <c r="BC27" s="13"/>
      <c r="BD27" s="13"/>
      <c r="BE27" s="13"/>
      <c r="BF27" s="13"/>
      <c r="BG27" s="13"/>
      <c r="BH27" s="13"/>
      <c r="BI27" s="13"/>
    </row>
    <row r="28" spans="1:61" ht="16.5" customHeight="1" x14ac:dyDescent="0.25">
      <c r="C28" t="s">
        <v>1795</v>
      </c>
      <c r="D28" s="1355">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8" s="1355">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8" s="1356" t="s">
        <v>1797</v>
      </c>
      <c r="G28" s="1357" t="s">
        <v>1799</v>
      </c>
      <c r="I28" s="1355"/>
      <c r="X28" s="13" t="str">
        <f t="shared" si="56"/>
        <v>C</v>
      </c>
      <c r="Y28" s="1355" t="e">
        <f>IF(AND('Рейтинг МКД'!$D$27&gt;0.7*'классы ЭЭ и выбросы ПГ'!$AO$12,'Рейтинг МКД'!$D$27&lt;=0.85*'классы ЭЭ и выбросы ПГ'!$AO$12),"C","")</f>
        <v>#VALUE!</v>
      </c>
      <c r="Z28" s="1356" t="s">
        <v>1804</v>
      </c>
      <c r="AA28" s="1357" t="s">
        <v>1805</v>
      </c>
      <c r="AQ28" s="13"/>
      <c r="AR28" s="13" t="str">
        <f t="shared" si="57"/>
        <v>C</v>
      </c>
      <c r="AS28" s="1355" t="str">
        <f ca="1">IF(AND(AS22&gt;0.7*'классы ЭЭ и выбросы ПГ'!$BI$12,AS22&lt;=0.85*'классы ЭЭ и выбросы ПГ'!$BI$12),AR28,"")</f>
        <v/>
      </c>
      <c r="AT28" s="1356" t="s">
        <v>1804</v>
      </c>
      <c r="AU28" s="1357" t="s">
        <v>1805</v>
      </c>
      <c r="AV28" s="13"/>
      <c r="AW28" s="13"/>
      <c r="AX28" s="13"/>
      <c r="AY28" s="13"/>
      <c r="AZ28" s="13"/>
      <c r="BA28" s="13"/>
      <c r="BB28" s="13"/>
      <c r="BC28" s="13"/>
      <c r="BD28" s="13"/>
      <c r="BE28" s="13"/>
      <c r="BF28" s="13"/>
      <c r="BG28" s="13"/>
      <c r="BH28" s="13"/>
      <c r="BI28" s="13"/>
    </row>
    <row r="29" spans="1:61" ht="16.5" customHeight="1" x14ac:dyDescent="0.25">
      <c r="C29" t="s">
        <v>1788</v>
      </c>
      <c r="D29" s="1355">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9" s="1355">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9" s="1356" t="s">
        <v>1800</v>
      </c>
      <c r="G29" s="1357" t="s">
        <v>1801</v>
      </c>
      <c r="I29" s="1355"/>
      <c r="X29" s="13" t="str">
        <f t="shared" si="56"/>
        <v>D</v>
      </c>
      <c r="Y29" s="1355" t="e">
        <f>IF(AND('Рейтинг МКД'!$D$27&gt;0.85*'классы ЭЭ и выбросы ПГ'!$AO$12,'Рейтинг МКД'!$D$27&lt;=1*'классы ЭЭ и выбросы ПГ'!$AO$12),"D","")</f>
        <v>#VALUE!</v>
      </c>
      <c r="Z29" s="1356" t="s">
        <v>1806</v>
      </c>
      <c r="AA29" s="1357" t="s">
        <v>1807</v>
      </c>
      <c r="AQ29" s="13"/>
      <c r="AR29" s="13" t="str">
        <f t="shared" si="57"/>
        <v>D</v>
      </c>
      <c r="AS29" s="1355" t="str">
        <f ca="1">IF(AND(AS22&gt;0.85*'классы ЭЭ и выбросы ПГ'!$BI$12,AS22&lt;=1*'классы ЭЭ и выбросы ПГ'!$BI$12),AR29,"")</f>
        <v/>
      </c>
      <c r="AT29" s="1356" t="s">
        <v>1806</v>
      </c>
      <c r="AU29" s="1357" t="s">
        <v>1807</v>
      </c>
      <c r="AV29" s="13"/>
      <c r="AW29" s="13"/>
      <c r="AX29" s="13"/>
      <c r="AY29" s="13"/>
      <c r="AZ29" s="13"/>
      <c r="BA29" s="13"/>
      <c r="BB29" s="13"/>
      <c r="BC29" s="13"/>
      <c r="BD29" s="13"/>
      <c r="BE29" s="13"/>
      <c r="BF29" s="13"/>
      <c r="BG29" s="13"/>
      <c r="BH29" s="13"/>
      <c r="BI29" s="13"/>
    </row>
    <row r="30" spans="1:61" ht="16.5" customHeight="1" x14ac:dyDescent="0.25">
      <c r="C30" t="s">
        <v>1789</v>
      </c>
      <c r="D30" s="1355">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30" s="1355">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0</v>
      </c>
      <c r="F30" s="1356" t="s">
        <v>1802</v>
      </c>
      <c r="G30" s="1357" t="s">
        <v>1803</v>
      </c>
      <c r="I30" s="1355"/>
      <c r="X30" s="13" t="str">
        <f t="shared" si="56"/>
        <v>E</v>
      </c>
      <c r="Y30" s="1355" t="e">
        <f>IF(AND('Рейтинг МКД'!$D$27&gt;1*'классы ЭЭ и выбросы ПГ'!$AO$12,'Рейтинг МКД'!$D$27&lt;=1.25*'классы ЭЭ и выбросы ПГ'!$AO$12),"E","")</f>
        <v>#VALUE!</v>
      </c>
      <c r="Z30" s="1356" t="s">
        <v>1808</v>
      </c>
      <c r="AA30" s="1357" t="s">
        <v>1809</v>
      </c>
      <c r="AQ30" s="13"/>
      <c r="AR30" s="13" t="str">
        <f t="shared" si="57"/>
        <v>E</v>
      </c>
      <c r="AS30" s="1355" t="str">
        <f ca="1">IF(AND(AS22&gt;1*'классы ЭЭ и выбросы ПГ'!$BI$12,AS22&lt;=1.25*'классы ЭЭ и выбросы ПГ'!$BI$12),AR30,"")</f>
        <v>E</v>
      </c>
      <c r="AT30" s="1356" t="s">
        <v>1808</v>
      </c>
      <c r="AU30" s="1357" t="s">
        <v>1809</v>
      </c>
      <c r="AV30" s="13"/>
      <c r="AW30" s="13"/>
      <c r="AX30" s="13"/>
      <c r="AY30" s="13"/>
      <c r="AZ30" s="13"/>
      <c r="BA30" s="13"/>
      <c r="BB30" s="13"/>
      <c r="BC30" s="13"/>
      <c r="BD30" s="13"/>
      <c r="BE30" s="13"/>
      <c r="BF30" s="13"/>
      <c r="BG30" s="13"/>
      <c r="BH30" s="13"/>
      <c r="BI30" s="13"/>
    </row>
    <row r="31" spans="1:61" ht="16.5" customHeight="1" x14ac:dyDescent="0.25">
      <c r="C31" t="s">
        <v>1790</v>
      </c>
      <c r="D31" s="1355">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1" s="1355">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1" s="1356" t="s">
        <v>1804</v>
      </c>
      <c r="G31" s="1357" t="s">
        <v>1805</v>
      </c>
      <c r="I31" s="1355"/>
      <c r="X31" s="13" t="str">
        <f t="shared" si="56"/>
        <v>F</v>
      </c>
      <c r="Y31" s="1355" t="e">
        <f>IF(AND('Рейтинг МКД'!$D$27&gt;1.25*'классы ЭЭ и выбросы ПГ'!$AO$12,'Рейтинг МКД'!$D$27&lt;=1.5*'классы ЭЭ и выбросы ПГ'!$AO$12),"F","")</f>
        <v>#VALUE!</v>
      </c>
      <c r="Z31" s="1356" t="s">
        <v>1810</v>
      </c>
      <c r="AA31" s="1357" t="s">
        <v>1811</v>
      </c>
      <c r="AQ31" s="13"/>
      <c r="AR31" s="13" t="str">
        <f t="shared" si="57"/>
        <v>F</v>
      </c>
      <c r="AS31" s="1355" t="str">
        <f ca="1">IF(AND(AS22&gt;1.25*'классы ЭЭ и выбросы ПГ'!$BI$12,AS22&lt;=1.5*'классы ЭЭ и выбросы ПГ'!$BI$12),AR31,"")</f>
        <v/>
      </c>
      <c r="AT31" s="1356" t="s">
        <v>1810</v>
      </c>
      <c r="AU31" s="1357" t="s">
        <v>1811</v>
      </c>
      <c r="AV31" s="13"/>
      <c r="AW31" s="13"/>
      <c r="AX31" s="13"/>
      <c r="AY31" s="13"/>
      <c r="AZ31" s="13"/>
      <c r="BA31" s="13"/>
      <c r="BB31" s="13"/>
      <c r="BC31" s="13"/>
      <c r="BD31" s="13"/>
      <c r="BE31" s="13"/>
      <c r="BF31" s="13"/>
      <c r="BG31" s="13"/>
      <c r="BH31" s="13"/>
      <c r="BI31" s="13"/>
    </row>
    <row r="32" spans="1:61" ht="16.5" customHeight="1" x14ac:dyDescent="0.25">
      <c r="C32" t="s">
        <v>1791</v>
      </c>
      <c r="D32" s="1355">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2" s="1355">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0</v>
      </c>
      <c r="F32" s="1356" t="s">
        <v>1806</v>
      </c>
      <c r="G32" s="1357" t="s">
        <v>1807</v>
      </c>
      <c r="I32" s="1355"/>
      <c r="X32" s="13" t="str">
        <f t="shared" si="56"/>
        <v>G</v>
      </c>
      <c r="Y32" s="1350" t="e">
        <f>IF('Рейтинг МКД'!$D$27&gt;1.5*'классы ЭЭ и выбросы ПГ'!$AO$12,"G","")</f>
        <v>#VALUE!</v>
      </c>
      <c r="Z32" s="1356" t="s">
        <v>1812</v>
      </c>
      <c r="AA32" s="1357" t="s">
        <v>1813</v>
      </c>
      <c r="AQ32" s="13"/>
      <c r="AR32" s="13" t="str">
        <f t="shared" si="57"/>
        <v>G</v>
      </c>
      <c r="AS32" s="1350" t="str">
        <f ca="1">IF(AS22&gt;1.5*'классы ЭЭ и выбросы ПГ'!$BI$12,AR32,"")</f>
        <v/>
      </c>
      <c r="AT32" s="1356" t="s">
        <v>1812</v>
      </c>
      <c r="AU32" s="1357" t="s">
        <v>1813</v>
      </c>
      <c r="AV32" s="13"/>
      <c r="AW32" s="13"/>
      <c r="AX32" s="13"/>
      <c r="AY32" s="13"/>
      <c r="AZ32" s="13"/>
      <c r="BA32" s="13"/>
      <c r="BB32" s="13"/>
      <c r="BC32" s="13"/>
      <c r="BD32" s="13"/>
      <c r="BE32" s="13"/>
      <c r="BF32" s="13"/>
      <c r="BG32" s="13"/>
      <c r="BH32" s="13"/>
      <c r="BI32" s="13"/>
    </row>
    <row r="33" spans="1:61" ht="16.5" customHeight="1" x14ac:dyDescent="0.25">
      <c r="C33" t="s">
        <v>1792</v>
      </c>
      <c r="D33" s="1355">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0</v>
      </c>
      <c r="E33" s="1355">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1</v>
      </c>
      <c r="F33" s="1356" t="s">
        <v>1808</v>
      </c>
      <c r="G33" s="1357" t="s">
        <v>1809</v>
      </c>
      <c r="I33" s="1355"/>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1793</v>
      </c>
      <c r="D34" s="1355">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1</v>
      </c>
      <c r="E34" s="1355">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4" s="1356" t="s">
        <v>1810</v>
      </c>
      <c r="G34" s="1357" t="s">
        <v>1811</v>
      </c>
      <c r="I34" s="1355"/>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1794</v>
      </c>
      <c r="D35" s="13">
        <f ca="1">IF('Расчет базового уровня'!$D$6/('Ввод исходных данных'!$G$56+'Ввод исходных данных'!$D$23)&gt;1.5*'классы ЭЭ и выбросы ПГ'!$S$12,1,0)</f>
        <v>0</v>
      </c>
      <c r="E35" s="13">
        <f ca="1">IF('Расчет после реализации'!$D$6/('Ввод исходных данных'!$G$56+'Ввод исходных данных'!$D$23)&gt;1.5*'классы ЭЭ и выбросы ПГ'!$S$12,1,0)</f>
        <v>0</v>
      </c>
      <c r="F35" s="1356" t="s">
        <v>1812</v>
      </c>
      <c r="G35" s="1357" t="s">
        <v>1813</v>
      </c>
      <c r="I35" s="1355"/>
    </row>
    <row r="36" spans="1:61" ht="16.5" customHeight="1" x14ac:dyDescent="0.25">
      <c r="X36" s="1352">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1817</v>
      </c>
      <c r="X37" s="1352">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1821</v>
      </c>
      <c r="E38" s="13" t="s">
        <v>1825</v>
      </c>
      <c r="G38" s="13" t="s">
        <v>1827</v>
      </c>
      <c r="X38" s="1352">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1287</v>
      </c>
      <c r="C39" t="s">
        <v>1288</v>
      </c>
      <c r="E39" s="13" t="s">
        <v>1287</v>
      </c>
      <c r="F39" s="13" t="s">
        <v>1288</v>
      </c>
      <c r="G39" s="13" t="s">
        <v>1287</v>
      </c>
      <c r="H39" s="13" t="s">
        <v>1288</v>
      </c>
      <c r="X39" s="1352">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1822</v>
      </c>
      <c r="C40" s="13" t="s">
        <v>1823</v>
      </c>
      <c r="E40" s="13" t="s">
        <v>1826</v>
      </c>
      <c r="F40" s="13" t="s">
        <v>1826</v>
      </c>
      <c r="G40" s="13" t="s">
        <v>1826</v>
      </c>
      <c r="H40" s="13" t="s">
        <v>1826</v>
      </c>
      <c r="X40" s="1352">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1818</v>
      </c>
      <c r="G41" s="13"/>
      <c r="X41" s="1352">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1819</v>
      </c>
      <c r="G42" s="13"/>
      <c r="X42" s="1352">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1820</v>
      </c>
      <c r="G43" s="13"/>
    </row>
    <row r="44" spans="1:61" ht="16.5" customHeight="1" x14ac:dyDescent="0.25">
      <c r="A44" t="s">
        <v>1824</v>
      </c>
      <c r="B44">
        <v>0.40910419999999997</v>
      </c>
      <c r="C44" s="1361">
        <v>0.61675190000000002</v>
      </c>
      <c r="E44">
        <f ca="1">'Расчет базового уровня'!D10*'классы ЭЭ и выбросы ПГ'!B44</f>
        <v>547.7827398562074</v>
      </c>
      <c r="F44" s="13">
        <f>C44*'Расчет базового уровня'!D18/1000</f>
        <v>14.0964814264</v>
      </c>
      <c r="G44" s="13">
        <f ca="1">'Расчет после реализации'!D9*0.86/1000*'классы ЭЭ и выбросы ПГ'!B44</f>
        <v>474.0093462052547</v>
      </c>
      <c r="H44" s="13">
        <f ca="1">C44*'Расчет после реализации'!D18/1000</f>
        <v>14.796820793125102</v>
      </c>
      <c r="W44" t="s">
        <v>2025</v>
      </c>
      <c r="X44" s="1422" t="str">
        <f>X12</f>
        <v/>
      </c>
      <c r="Y44" t="e">
        <f>IF($X44&lt;3000,SLOPE(Y5:Y6,$X5:$X6)*$X44+INTERCEPT(Y5:Y6,$X5:$X6),$X44*SLOPE(Y$6:Y$11,$X$6:$X$11)+INTERCEPT(Y$6:Y$11,$X$6:$X$11))</f>
        <v>#VALUE!</v>
      </c>
      <c r="Z44" s="13" t="e">
        <f t="shared" ref="Z44:AN44" si="60">IF($X44&lt;3000,SLOPE(Z5:Z6,$X5:$X6)*$X44+INTERCEPT(Z5:Z6,$X5:$X6),$X44*SLOPE(Z$6:Z$11,$X$6:$X$11)+INTERCEPT(Z$6:Z$11,$X$6:$X$11))</f>
        <v>#VALUE!</v>
      </c>
      <c r="AA44" s="13" t="e">
        <f t="shared" si="60"/>
        <v>#VALUE!</v>
      </c>
      <c r="AB44" s="13" t="e">
        <f t="shared" si="60"/>
        <v>#VALUE!</v>
      </c>
      <c r="AC44" s="13" t="e">
        <f t="shared" si="60"/>
        <v>#VALUE!</v>
      </c>
      <c r="AD44" s="13" t="e">
        <f t="shared" si="60"/>
        <v>#VALUE!</v>
      </c>
      <c r="AE44" s="13" t="e">
        <f t="shared" si="60"/>
        <v>#VALUE!</v>
      </c>
      <c r="AF44" s="13" t="e">
        <f t="shared" si="60"/>
        <v>#VALUE!</v>
      </c>
      <c r="AG44" s="13" t="e">
        <f t="shared" si="60"/>
        <v>#VALUE!</v>
      </c>
      <c r="AH44" s="13" t="e">
        <f t="shared" si="60"/>
        <v>#VALUE!</v>
      </c>
      <c r="AI44" s="13" t="e">
        <f t="shared" si="60"/>
        <v>#VALUE!</v>
      </c>
      <c r="AJ44" s="13" t="e">
        <f t="shared" si="60"/>
        <v>#VALUE!</v>
      </c>
      <c r="AK44" s="13" t="e">
        <f t="shared" si="60"/>
        <v>#VALUE!</v>
      </c>
      <c r="AL44" s="13" t="e">
        <f t="shared" si="60"/>
        <v>#VALUE!</v>
      </c>
      <c r="AM44" s="13" t="e">
        <f t="shared" si="60"/>
        <v>#VALUE!</v>
      </c>
      <c r="AN44" s="13" t="e">
        <f t="shared" si="60"/>
        <v>#VALUE!</v>
      </c>
    </row>
    <row r="45" spans="1:61" s="13" customFormat="1" ht="16.5" customHeight="1" x14ac:dyDescent="0.25">
      <c r="C45" s="1361"/>
      <c r="X45" s="1422"/>
      <c r="Y45" s="13" t="e">
        <f>Y44/$X$44</f>
        <v>#VALUE!</v>
      </c>
      <c r="Z45" s="13" t="e">
        <f t="shared" ref="Z45:AN45" si="61">Z44/$X$44</f>
        <v>#VALUE!</v>
      </c>
      <c r="AA45" s="13" t="e">
        <f t="shared" si="61"/>
        <v>#VALUE!</v>
      </c>
      <c r="AB45" s="13" t="e">
        <f t="shared" si="61"/>
        <v>#VALUE!</v>
      </c>
      <c r="AC45" s="13" t="e">
        <f t="shared" si="61"/>
        <v>#VALUE!</v>
      </c>
      <c r="AD45" s="13" t="e">
        <f t="shared" si="61"/>
        <v>#VALUE!</v>
      </c>
      <c r="AE45" s="13" t="e">
        <f t="shared" si="61"/>
        <v>#VALUE!</v>
      </c>
      <c r="AF45" s="13" t="e">
        <f t="shared" si="61"/>
        <v>#VALUE!</v>
      </c>
      <c r="AG45" s="13" t="e">
        <f t="shared" si="61"/>
        <v>#VALUE!</v>
      </c>
      <c r="AH45" s="13" t="e">
        <f t="shared" si="61"/>
        <v>#VALUE!</v>
      </c>
      <c r="AI45" s="13" t="e">
        <f t="shared" si="61"/>
        <v>#VALUE!</v>
      </c>
      <c r="AJ45" s="13" t="e">
        <f t="shared" si="61"/>
        <v>#VALUE!</v>
      </c>
      <c r="AK45" s="13" t="e">
        <f t="shared" si="61"/>
        <v>#VALUE!</v>
      </c>
      <c r="AL45" s="13" t="e">
        <f t="shared" si="61"/>
        <v>#VALUE!</v>
      </c>
      <c r="AM45" s="13" t="e">
        <f t="shared" si="61"/>
        <v>#VALUE!</v>
      </c>
      <c r="AN45" s="13" t="e">
        <f t="shared" si="61"/>
        <v>#VALUE!</v>
      </c>
    </row>
    <row r="46" spans="1:61" ht="16.5" customHeight="1" x14ac:dyDescent="0.25">
      <c r="X46" s="1422" t="str">
        <f>X44</f>
        <v/>
      </c>
      <c r="Y46" s="13" t="e">
        <f>IF($X$46&lt;3000,SLOPE(Y13:Y14,$X13:$X14)*$X$46+INTERCEPT(Y13:Y14,$X13:$X14),$X$46*SLOPE(Y$14:Y$19,$X$14:$X$19)+INTERCEPT(Y$14:Y$19,$X$14:$X$19))</f>
        <v>#VALUE!</v>
      </c>
      <c r="Z46" s="13" t="e">
        <f t="shared" ref="Z46:AN46" si="62">IF($X$46&lt;3000,SLOPE(Z13:Z14,$X13:$X14)*$X$46+INTERCEPT(Z13:Z14,$X13:$X14),$X$46*SLOPE(Z$14:Z$19,$X$14:$X$19)+INTERCEPT(Z$14:Z$19,$X$14:$X$19))</f>
        <v>#VALUE!</v>
      </c>
      <c r="AA46" s="13" t="e">
        <f t="shared" si="62"/>
        <v>#VALUE!</v>
      </c>
      <c r="AB46" s="13" t="e">
        <f t="shared" si="62"/>
        <v>#VALUE!</v>
      </c>
      <c r="AC46" s="13" t="e">
        <f t="shared" si="62"/>
        <v>#VALUE!</v>
      </c>
      <c r="AD46" s="13" t="e">
        <f t="shared" si="62"/>
        <v>#VALUE!</v>
      </c>
      <c r="AE46" s="13" t="e">
        <f t="shared" si="62"/>
        <v>#VALUE!</v>
      </c>
      <c r="AF46" s="13" t="e">
        <f t="shared" si="62"/>
        <v>#VALUE!</v>
      </c>
      <c r="AG46" s="13" t="e">
        <f t="shared" si="62"/>
        <v>#VALUE!</v>
      </c>
      <c r="AH46" s="13" t="e">
        <f t="shared" si="62"/>
        <v>#VALUE!</v>
      </c>
      <c r="AI46" s="13" t="e">
        <f t="shared" si="62"/>
        <v>#VALUE!</v>
      </c>
      <c r="AJ46" s="13" t="e">
        <f t="shared" si="62"/>
        <v>#VALUE!</v>
      </c>
      <c r="AK46" s="13" t="e">
        <f t="shared" si="62"/>
        <v>#VALUE!</v>
      </c>
      <c r="AL46" s="13" t="e">
        <f t="shared" si="62"/>
        <v>#VALUE!</v>
      </c>
      <c r="AM46" s="13" t="e">
        <f t="shared" si="62"/>
        <v>#VALUE!</v>
      </c>
      <c r="AN46" s="13" t="e">
        <f t="shared" si="62"/>
        <v>#VALUE!</v>
      </c>
    </row>
    <row r="47" spans="1:61" s="13" customFormat="1" ht="16.5" customHeight="1" x14ac:dyDescent="0.25">
      <c r="X47" s="1422"/>
      <c r="Y47" s="13" t="e">
        <f t="shared" ref="Y47:AN47" si="63">Y46/$X$44</f>
        <v>#VALUE!</v>
      </c>
      <c r="Z47" s="13" t="e">
        <f t="shared" si="63"/>
        <v>#VALUE!</v>
      </c>
      <c r="AA47" s="13" t="e">
        <f t="shared" si="63"/>
        <v>#VALUE!</v>
      </c>
      <c r="AB47" s="13" t="e">
        <f t="shared" si="63"/>
        <v>#VALUE!</v>
      </c>
      <c r="AC47" s="13" t="e">
        <f t="shared" si="63"/>
        <v>#VALUE!</v>
      </c>
      <c r="AD47" s="13" t="e">
        <f t="shared" si="63"/>
        <v>#VALUE!</v>
      </c>
      <c r="AE47" s="13" t="e">
        <f t="shared" si="63"/>
        <v>#VALUE!</v>
      </c>
      <c r="AF47" s="13" t="e">
        <f t="shared" si="63"/>
        <v>#VALUE!</v>
      </c>
      <c r="AG47" s="13" t="e">
        <f t="shared" si="63"/>
        <v>#VALUE!</v>
      </c>
      <c r="AH47" s="13" t="e">
        <f t="shared" si="63"/>
        <v>#VALUE!</v>
      </c>
      <c r="AI47" s="13" t="e">
        <f t="shared" si="63"/>
        <v>#VALUE!</v>
      </c>
      <c r="AJ47" s="13" t="e">
        <f t="shared" si="63"/>
        <v>#VALUE!</v>
      </c>
      <c r="AK47" s="13" t="e">
        <f t="shared" si="63"/>
        <v>#VALUE!</v>
      </c>
      <c r="AL47" s="13" t="e">
        <f t="shared" si="63"/>
        <v>#VALUE!</v>
      </c>
      <c r="AM47" s="13" t="e">
        <f t="shared" si="63"/>
        <v>#VALUE!</v>
      </c>
      <c r="AN47" s="13" t="e">
        <f t="shared" si="63"/>
        <v>#VALUE!</v>
      </c>
    </row>
    <row r="48" spans="1:61" ht="16.5" customHeight="1" x14ac:dyDescent="0.25">
      <c r="X48" s="1422" t="str">
        <f>X46</f>
        <v/>
      </c>
      <c r="Y48" t="e">
        <f>Y44-Y46-10</f>
        <v>#VALUE!</v>
      </c>
      <c r="Z48" s="13" t="e">
        <f t="shared" ref="Z48:AN48" si="64">Z44-Z46-10</f>
        <v>#VALUE!</v>
      </c>
      <c r="AA48" s="13" t="e">
        <f t="shared" si="64"/>
        <v>#VALUE!</v>
      </c>
      <c r="AB48" s="13" t="e">
        <f t="shared" si="64"/>
        <v>#VALUE!</v>
      </c>
      <c r="AC48" s="13" t="e">
        <f t="shared" si="64"/>
        <v>#VALUE!</v>
      </c>
      <c r="AD48" s="13" t="e">
        <f t="shared" si="64"/>
        <v>#VALUE!</v>
      </c>
      <c r="AE48" s="13" t="e">
        <f t="shared" si="64"/>
        <v>#VALUE!</v>
      </c>
      <c r="AF48" s="13" t="e">
        <f t="shared" si="64"/>
        <v>#VALUE!</v>
      </c>
      <c r="AG48" s="13" t="e">
        <f t="shared" si="64"/>
        <v>#VALUE!</v>
      </c>
      <c r="AH48" s="13" t="e">
        <f t="shared" si="64"/>
        <v>#VALUE!</v>
      </c>
      <c r="AI48" s="13" t="e">
        <f t="shared" si="64"/>
        <v>#VALUE!</v>
      </c>
      <c r="AJ48" s="13" t="e">
        <f t="shared" si="64"/>
        <v>#VALUE!</v>
      </c>
      <c r="AK48" s="13" t="e">
        <f t="shared" si="64"/>
        <v>#VALUE!</v>
      </c>
      <c r="AL48" s="13" t="e">
        <f t="shared" si="64"/>
        <v>#VALUE!</v>
      </c>
      <c r="AM48" s="13" t="e">
        <f t="shared" si="64"/>
        <v>#VALUE!</v>
      </c>
      <c r="AN48" s="13" t="e">
        <f t="shared" si="64"/>
        <v>#VALUE!</v>
      </c>
    </row>
    <row r="50" spans="23:40" ht="16.5" customHeight="1" x14ac:dyDescent="0.25">
      <c r="W50" t="s">
        <v>2026</v>
      </c>
      <c r="X50" s="1422">
        <f ca="1">B12</f>
        <v>5596.7999999999993</v>
      </c>
      <c r="Y50" s="13">
        <f ca="1">IF($X50&lt;3000,SLOPE(Y5:Y6,$X5:$X6)*$X50+INTERCEPT(Y5:Y6,$X5:$X6),$X50*SLOPE(Y$6:Y$11,$X$6:$X$11)+INTERCEPT(Y$6:Y$11,$X$6:$X$11))</f>
        <v>301.23476078431372</v>
      </c>
      <c r="Z50" s="13">
        <f t="shared" ref="Z50:AN50" ca="1" si="65">IF($X50&lt;3000,SLOPE(Z5:Z6,$X5:$X6)*$X50+INTERCEPT(Z5:Z6,$X5:$X6),$X50*SLOPE(Z$6:Z$11,$X$6:$X$11)+INTERCEPT(Z$6:Z$11,$X$6:$X$11))</f>
        <v>289.58266666666668</v>
      </c>
      <c r="AA50" s="13">
        <f t="shared" ca="1" si="65"/>
        <v>277.93057254901964</v>
      </c>
      <c r="AB50" s="13">
        <f t="shared" ca="1" si="65"/>
        <v>274.05444705882348</v>
      </c>
      <c r="AC50" s="13">
        <f t="shared" ca="1" si="65"/>
        <v>270.17832156862738</v>
      </c>
      <c r="AD50" s="13">
        <f t="shared" ca="1" si="65"/>
        <v>267.05251764705878</v>
      </c>
      <c r="AE50" s="13">
        <f t="shared" ca="1" si="65"/>
        <v>263.92671372549017</v>
      </c>
      <c r="AF50" s="13">
        <f t="shared" ca="1" si="65"/>
        <v>260.82462745098036</v>
      </c>
      <c r="AG50" s="13">
        <f t="shared" ca="1" si="65"/>
        <v>257.7225411764706</v>
      </c>
      <c r="AH50" s="13">
        <f t="shared" ca="1" si="65"/>
        <v>256.1685333333333</v>
      </c>
      <c r="AI50" s="13">
        <f t="shared" ca="1" si="65"/>
        <v>254.61452549019612</v>
      </c>
      <c r="AJ50" s="13">
        <f t="shared" ca="1" si="65"/>
        <v>253.06051764705882</v>
      </c>
      <c r="AK50" s="13">
        <f t="shared" ca="1" si="65"/>
        <v>251.50650980392152</v>
      </c>
      <c r="AL50" s="13">
        <f t="shared" ca="1" si="65"/>
        <v>249.9525019607843</v>
      </c>
      <c r="AM50" s="13">
        <f t="shared" ca="1" si="65"/>
        <v>248.39849411764703</v>
      </c>
      <c r="AN50" s="13">
        <f t="shared" ca="1" si="65"/>
        <v>246.84448627450979</v>
      </c>
    </row>
    <row r="51" spans="23:40" ht="16.5" customHeight="1" x14ac:dyDescent="0.25">
      <c r="X51" s="1422"/>
      <c r="Y51" s="13">
        <f ca="1">Y50/$X$50</f>
        <v>5.3822677384275618E-2</v>
      </c>
      <c r="Z51" s="13">
        <f t="shared" ref="Z51:AN51" ca="1" si="66">Z50/$X$50</f>
        <v>5.1740756622832104E-2</v>
      </c>
      <c r="AA51" s="13">
        <f t="shared" ca="1" si="66"/>
        <v>4.9658835861388591E-2</v>
      </c>
      <c r="AB51" s="13">
        <f t="shared" ca="1" si="66"/>
        <v>4.8966274846130559E-2</v>
      </c>
      <c r="AC51" s="13">
        <f t="shared" ca="1" si="66"/>
        <v>4.827371383087254E-2</v>
      </c>
      <c r="AD51" s="13">
        <f t="shared" ca="1" si="66"/>
        <v>4.7715215417213193E-2</v>
      </c>
      <c r="AE51" s="13">
        <f t="shared" ca="1" si="66"/>
        <v>4.7156717003553852E-2</v>
      </c>
      <c r="AF51" s="13">
        <f t="shared" ca="1" si="66"/>
        <v>4.6602456305563963E-2</v>
      </c>
      <c r="AG51" s="13">
        <f t="shared" ca="1" si="66"/>
        <v>4.6048195607574081E-2</v>
      </c>
      <c r="AH51" s="13">
        <f t="shared" ca="1" si="66"/>
        <v>4.5770535544120451E-2</v>
      </c>
      <c r="AI51" s="13">
        <f t="shared" ca="1" si="66"/>
        <v>4.5492875480666835E-2</v>
      </c>
      <c r="AJ51" s="13">
        <f t="shared" ca="1" si="66"/>
        <v>4.5215215417213205E-2</v>
      </c>
      <c r="AK51" s="13">
        <f t="shared" ca="1" si="66"/>
        <v>4.4937555353759567E-2</v>
      </c>
      <c r="AL51" s="13">
        <f t="shared" ca="1" si="66"/>
        <v>4.4659895290305951E-2</v>
      </c>
      <c r="AM51" s="13">
        <f t="shared" ca="1" si="66"/>
        <v>4.4382235226852321E-2</v>
      </c>
      <c r="AN51" s="13">
        <f t="shared" ca="1" si="66"/>
        <v>4.4104575163398697E-2</v>
      </c>
    </row>
    <row r="52" spans="23:40" ht="16.5" customHeight="1" x14ac:dyDescent="0.25">
      <c r="X52" s="1422">
        <f ca="1">X50</f>
        <v>5596.7999999999993</v>
      </c>
      <c r="Y52" s="13">
        <f ca="1">IF($X52&lt;3000,SLOPE(Y13:Y14,$X13:$X14)*$X52+INTERCEPT(Y13:Y14,$X13:$X14),$X52*SLOPE(Y$14:Y$19,$X$14:$X$19)+INTERCEPT(Y$14:Y$19,$X$14:$X$19))</f>
        <v>182.65496470588232</v>
      </c>
      <c r="Z52" s="13">
        <f t="shared" ref="Z52:AN52" ca="1" si="67">IF($X52&lt;3000,SLOPE(Z13:Z14,$X13:$X14)*$X52+INTERCEPT(Z13:Z14,$X13:$X14),$X52*SLOPE(Z$14:Z$19,$X$14:$X$19)+INTERCEPT(Z$14:Z$19,$X$14:$X$19))</f>
        <v>167.43075294117645</v>
      </c>
      <c r="AA52" s="13">
        <f t="shared" ca="1" si="67"/>
        <v>152.20654117647058</v>
      </c>
      <c r="AB52" s="13">
        <f t="shared" ca="1" si="67"/>
        <v>137.0001176470588</v>
      </c>
      <c r="AC52" s="13">
        <f t="shared" ca="1" si="67"/>
        <v>121.79369411764705</v>
      </c>
      <c r="AD52" s="13">
        <f t="shared" ca="1" si="67"/>
        <v>118.72750588235293</v>
      </c>
      <c r="AE52" s="13">
        <f t="shared" ca="1" si="67"/>
        <v>115.66131764705881</v>
      </c>
      <c r="AF52" s="13">
        <f t="shared" ca="1" si="67"/>
        <v>112.63070588235293</v>
      </c>
      <c r="AG52" s="13">
        <f t="shared" ca="1" si="67"/>
        <v>109.60009411764705</v>
      </c>
      <c r="AH52" s="13">
        <f t="shared" ca="1" si="67"/>
        <v>108.1057019607843</v>
      </c>
      <c r="AI52" s="13">
        <f t="shared" ca="1" si="67"/>
        <v>106.61130980392156</v>
      </c>
      <c r="AJ52" s="13">
        <f t="shared" ca="1" si="67"/>
        <v>105.11691764705881</v>
      </c>
      <c r="AK52" s="13">
        <f t="shared" ca="1" si="67"/>
        <v>103.62252549019607</v>
      </c>
      <c r="AL52" s="13">
        <f t="shared" ca="1" si="67"/>
        <v>102.12813333333331</v>
      </c>
      <c r="AM52" s="13">
        <f t="shared" ca="1" si="67"/>
        <v>100.63374117647056</v>
      </c>
      <c r="AN52" s="13">
        <f t="shared" ca="1" si="67"/>
        <v>99.139349019607835</v>
      </c>
    </row>
    <row r="53" spans="23:40" ht="16.5" customHeight="1" x14ac:dyDescent="0.25">
      <c r="X53" s="1422"/>
      <c r="Y53" s="13">
        <f ca="1">Y52/$X$52</f>
        <v>3.2635606901422663E-2</v>
      </c>
      <c r="Z53" s="13">
        <f t="shared" ref="Z53:AN53" ca="1" si="68">Z52/$X$52</f>
        <v>2.9915443278512092E-2</v>
      </c>
      <c r="AA53" s="13">
        <f t="shared" ca="1" si="68"/>
        <v>2.7195279655601524E-2</v>
      </c>
      <c r="AB53" s="13">
        <f t="shared" ca="1" si="68"/>
        <v>2.4478294319443043E-2</v>
      </c>
      <c r="AC53" s="13">
        <f t="shared" ca="1" si="68"/>
        <v>2.1761308983284568E-2</v>
      </c>
      <c r="AD53" s="13">
        <f t="shared" ca="1" si="68"/>
        <v>2.1213462314599939E-2</v>
      </c>
      <c r="AE53" s="13">
        <f t="shared" ca="1" si="68"/>
        <v>2.0665615645915313E-2</v>
      </c>
      <c r="AF53" s="13">
        <f t="shared" ca="1" si="68"/>
        <v>2.0124125550734874E-2</v>
      </c>
      <c r="AG53" s="13">
        <f t="shared" ca="1" si="68"/>
        <v>1.9582635455554435E-2</v>
      </c>
      <c r="AH53" s="13">
        <f t="shared" ca="1" si="68"/>
        <v>1.9315627137075526E-2</v>
      </c>
      <c r="AI53" s="13">
        <f t="shared" ca="1" si="68"/>
        <v>1.9048618818596621E-2</v>
      </c>
      <c r="AJ53" s="13">
        <f t="shared" ca="1" si="68"/>
        <v>1.8781610500117715E-2</v>
      </c>
      <c r="AK53" s="13">
        <f t="shared" ca="1" si="68"/>
        <v>1.851460218163881E-2</v>
      </c>
      <c r="AL53" s="13">
        <f t="shared" ca="1" si="68"/>
        <v>1.8247593863159901E-2</v>
      </c>
      <c r="AM53" s="13">
        <f t="shared" ca="1" si="68"/>
        <v>1.7980585544680992E-2</v>
      </c>
      <c r="AN53" s="13">
        <f t="shared" ca="1" si="68"/>
        <v>1.7713577226202089E-2</v>
      </c>
    </row>
    <row r="54" spans="23:40" ht="16.5" customHeight="1" x14ac:dyDescent="0.25">
      <c r="X54" s="1422">
        <f ca="1">X52</f>
        <v>5596.7999999999993</v>
      </c>
      <c r="Y54" s="13">
        <f t="shared" ref="Y54:AN54" ca="1" si="69">Y50-Y52-10</f>
        <v>108.5797960784314</v>
      </c>
      <c r="Z54" s="13">
        <f t="shared" ca="1" si="69"/>
        <v>112.15191372549023</v>
      </c>
      <c r="AA54" s="13">
        <f t="shared" ca="1" si="69"/>
        <v>115.72403137254906</v>
      </c>
      <c r="AB54" s="13">
        <f t="shared" ca="1" si="69"/>
        <v>127.05432941176468</v>
      </c>
      <c r="AC54" s="13">
        <f t="shared" ca="1" si="69"/>
        <v>138.38462745098033</v>
      </c>
      <c r="AD54" s="13">
        <f t="shared" ca="1" si="69"/>
        <v>138.32501176470583</v>
      </c>
      <c r="AE54" s="13">
        <f t="shared" ca="1" si="69"/>
        <v>138.26539607843137</v>
      </c>
      <c r="AF54" s="13">
        <f t="shared" ca="1" si="69"/>
        <v>138.19392156862745</v>
      </c>
      <c r="AG54" s="13">
        <f t="shared" ca="1" si="69"/>
        <v>138.12244705882355</v>
      </c>
      <c r="AH54" s="13">
        <f t="shared" ca="1" si="69"/>
        <v>138.062831372549</v>
      </c>
      <c r="AI54" s="13">
        <f t="shared" ca="1" si="69"/>
        <v>138.00321568627456</v>
      </c>
      <c r="AJ54" s="13">
        <f t="shared" ca="1" si="69"/>
        <v>137.9436</v>
      </c>
      <c r="AK54" s="13">
        <f t="shared" ca="1" si="69"/>
        <v>137.88398431372545</v>
      </c>
      <c r="AL54" s="13">
        <f t="shared" ca="1" si="69"/>
        <v>137.82436862745101</v>
      </c>
      <c r="AM54" s="13">
        <f t="shared" ca="1" si="69"/>
        <v>137.76475294117648</v>
      </c>
      <c r="AN54" s="13">
        <f t="shared" ca="1" si="69"/>
        <v>137.70513725490196</v>
      </c>
    </row>
    <row r="56" spans="23:40" ht="16.5" customHeight="1" x14ac:dyDescent="0.25">
      <c r="X56" s="1422">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422"/>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422">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422"/>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422">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W3:W4"/>
    <mergeCell ref="X3:X4"/>
    <mergeCell ref="Y3:AI3"/>
    <mergeCell ref="W5:W11"/>
    <mergeCell ref="W13:W19"/>
    <mergeCell ref="A3:A4"/>
    <mergeCell ref="B3:B4"/>
    <mergeCell ref="C3:M3"/>
    <mergeCell ref="A5:A11"/>
    <mergeCell ref="A13:A19"/>
    <mergeCell ref="AQ3:AQ4"/>
    <mergeCell ref="AR3:AR4"/>
    <mergeCell ref="AS3:BC3"/>
    <mergeCell ref="AQ5:AQ11"/>
    <mergeCell ref="AQ13:AQ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6"/>
  </cols>
  <sheetData>
    <row r="1" spans="1:27" ht="21" x14ac:dyDescent="0.25">
      <c r="A1" s="1362"/>
      <c r="B1" s="1362"/>
      <c r="C1" s="1362"/>
      <c r="D1" s="1362"/>
      <c r="E1" s="1362"/>
      <c r="F1" s="1362"/>
      <c r="G1" s="1362"/>
      <c r="H1" s="1362"/>
      <c r="I1" s="1362"/>
      <c r="J1" s="1362"/>
      <c r="K1" s="1362"/>
      <c r="L1" s="1362"/>
      <c r="M1" s="1364"/>
      <c r="N1" s="1362" t="s">
        <v>1854</v>
      </c>
      <c r="O1" s="1362"/>
      <c r="P1" s="1362"/>
      <c r="Q1" s="1362" t="s">
        <v>1855</v>
      </c>
      <c r="R1" s="1362"/>
      <c r="S1" s="1362"/>
      <c r="U1" t="s">
        <v>1857</v>
      </c>
      <c r="Y1" s="13" t="s">
        <v>894</v>
      </c>
      <c r="Z1" s="13"/>
      <c r="AA1" s="13"/>
    </row>
    <row r="2" spans="1:27"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c r="Y2" s="1362" t="s">
        <v>981</v>
      </c>
      <c r="Z2" s="1362" t="s">
        <v>541</v>
      </c>
      <c r="AA2" s="1362" t="s">
        <v>1291</v>
      </c>
    </row>
    <row r="3" spans="1:27" ht="21" x14ac:dyDescent="0.25">
      <c r="A3" s="1362" t="s">
        <v>1164</v>
      </c>
      <c r="B3" s="1362" t="s">
        <v>1840</v>
      </c>
      <c r="C3" s="1362" t="s">
        <v>1840</v>
      </c>
      <c r="D3" s="1362" t="s">
        <v>1840</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f ca="1">'Расчет базового уровня'!D12/('Ввод исходных данных'!$G$56+'Ввод исходных данных'!$D$23)/'Ввод исходных данных'!G285</f>
        <v>4.1992595879406659E-2</v>
      </c>
      <c r="V3" s="1367">
        <f ca="1">'Расчет базового уровня'!D15/('Ввод исходных данных'!$G$56+'Ввод исходных данных'!$D$23)</f>
        <v>109.52629968133131</v>
      </c>
      <c r="W3" s="1367">
        <f ca="1">'Расчет базового уровня'!D6/('Ввод исходных данных'!$G$56+'Ввод исходных данных'!$D$23)</f>
        <v>349.60844029388335</v>
      </c>
      <c r="Y3" s="13">
        <f ca="1">'Расчет после реализации'!D12/('Ввод исходных данных'!$G$56+'Ввод исходных данных'!$D$23)/'Ввод исходных данных'!G285</f>
        <v>3.370164266109716E-2</v>
      </c>
      <c r="Z3" s="1367">
        <f ca="1">'Расчет после реализации'!D15/('Ввод исходных данных'!$G$56+'Ввод исходных данных'!$D$23)</f>
        <v>109.52629968133132</v>
      </c>
      <c r="AA3" s="1367">
        <f ca="1">'Расчет после реализации'!D6/('Ввод исходных данных'!$G$56+'Ввод исходных данных'!$D$23)</f>
        <v>303.45692315768929</v>
      </c>
    </row>
    <row r="4" spans="1:27" x14ac:dyDescent="0.25">
      <c r="A4" s="1362"/>
      <c r="B4" s="1362"/>
      <c r="C4" s="1362"/>
      <c r="D4" s="1362"/>
      <c r="E4" s="1362"/>
      <c r="F4" s="1362"/>
      <c r="G4" s="1362"/>
      <c r="H4" s="1362"/>
      <c r="I4" s="1362"/>
      <c r="J4" s="1362"/>
      <c r="K4" s="1362"/>
      <c r="L4" s="1362"/>
      <c r="M4" s="1362"/>
      <c r="N4" s="1362"/>
      <c r="O4" s="1362"/>
      <c r="P4" s="1362"/>
      <c r="Q4" s="1362"/>
      <c r="R4" s="1362"/>
      <c r="S4" s="1362"/>
      <c r="Y4" s="13"/>
      <c r="Z4" s="13"/>
      <c r="AA4" s="13"/>
    </row>
    <row r="5" spans="1:27" x14ac:dyDescent="0.25">
      <c r="A5" s="1363">
        <v>0.01</v>
      </c>
      <c r="B5">
        <f>$B$106*B108+$C$106*C108+$D$106*D108+$E$106*E108+$F$106*F108+$G$106*G108+$H$106*H108+$I$106*I108+$J$106*J108+$K$106*K108+$L$106*L108+$M$106*M108</f>
        <v>1.12E-2</v>
      </c>
      <c r="C5" s="1364">
        <f>$B$106*B213+$C$106*C213+$D$106*D213+$E$106*E213+$F$106*F213+$G$106*G213+$H$106*H213+$I$106*I213+$J$106*J213+$K$106*K213+$L$106*L213+$M$106*M213</f>
        <v>25.87</v>
      </c>
      <c r="D5" s="1364">
        <f ca="1">B5*'Ввод исходных данных'!$G$285+C5+IF('Ввод исходных данных'!$D$159=0,7,10)</f>
        <v>95.554159999999996</v>
      </c>
      <c r="E5" s="1431">
        <f ca="1">IF(D5&lt;=$N$423,D5,"")</f>
        <v>95.554159999999996</v>
      </c>
      <c r="F5" s="1364" t="str">
        <f ca="1">IF(AND($D5&lt;=$N$424,$D5&gt;$N$423),$D5,"")</f>
        <v/>
      </c>
      <c r="G5" s="1364" t="str">
        <f ca="1">IF(AND($D5&lt;=$N$425,$D5&gt;$N$424),$D5,"")</f>
        <v/>
      </c>
      <c r="H5" s="1364" t="str">
        <f ca="1">IF(AND($D5&lt;=$N$426,$D5&gt;$N$425),$D5,"")</f>
        <v/>
      </c>
      <c r="I5" s="1364" t="str">
        <f ca="1">IF(AND($D5&lt;=$N$427,$D5&gt;$N$426),$D5,"")</f>
        <v/>
      </c>
      <c r="J5" s="1364" t="str">
        <f ca="1">IF(AND($D5&lt;=$N$428,$D5&gt;$N$427),$D5,"")</f>
        <v/>
      </c>
      <c r="K5" s="1364" t="str">
        <f ca="1">IF(AND($D5&lt;=$N$429,$D5&gt;$N$428),$D5,"")</f>
        <v/>
      </c>
      <c r="L5" s="1364" t="str">
        <f ca="1">IF(AND($D5&lt;=$N$430,$D5&gt;$N$429),$D5,"")</f>
        <v/>
      </c>
      <c r="M5" s="1364" t="str">
        <f ca="1">IF(AND($D5&gt;$N$430),$D5,"")</f>
        <v/>
      </c>
      <c r="N5">
        <f ca="1">$B$106*B210+$C$106*C210+$D$106*D210+$E$106*E210+$F$106*F210+$G$106*G210+$H$106*H210+$I$106*I210+$J$106*J210+$K$106*K210+$L$106*L210+$M$106*M210</f>
        <v>2.3119801651363805E-2</v>
      </c>
      <c r="O5">
        <f ca="1">$B$106*B315+$C$106*C315+$D$106*D315+$E$106*E315+$F$106*F315+$G$106*G315+$H$106*H315+$I$106*I315+$J$106*J315+$K$106*K315+$L$106*L315+$M$106*M315</f>
        <v>132.71947843137252</v>
      </c>
      <c r="P5" s="1366">
        <f ca="1">'Ввод исходных данных'!$G$285*($B$106*B420+$C$106*C420+$D$106*D420+$E$106*E420+$F$106*F420+$G$106*G420+$H$106*H420+$I$106*I420+$J$106*J420+$K$106*K420+$L$106*L420+$M$106*M420)</f>
        <v>272.1163843137254</v>
      </c>
      <c r="Q5">
        <f ca="1">$B$106*B211+$C$106*C211+$D$106*D211+$E$106*E211+$F$106*F211+$G$106*G211+$H$106*H211+$I$106*I211+$J$106*J211+$K$106*K211+$L$106*L211+$M$106*M211</f>
        <v>9.2479206605455225E-3</v>
      </c>
      <c r="R5">
        <f ca="1">$B$106*B316+$C$106*C316+$D$106*D316+$E$106*E316+$F$106*F316+$G$106*G316+$H$106*H316+$I$106*I316+$J$106*J316+$K$106*K316+$L$106*L316+$M$106*M316</f>
        <v>53.087791372549013</v>
      </c>
      <c r="S5">
        <f ca="1">($B$106*B421+$C$106*C421+$D$106*D421+$E$106*E421+$F$106*F421+$G$106*G421+$H$106*H421+$I$106*I421+$J$106*J421+$K$106*K421+$L$106*L421+$M$106*M421)*'Ввод исходных данных'!$G$285</f>
        <v>108.84655372549018</v>
      </c>
      <c r="U5" t="str">
        <f t="shared" ref="U5:U36" ca="1" si="0">IF(AND($U$3&gt;=B5,$U$3&lt;B6),$U$3,"")</f>
        <v/>
      </c>
      <c r="V5" t="str">
        <f t="shared" ref="V5:V36" ca="1"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3">
        <v>0.02</v>
      </c>
      <c r="B6" s="13">
        <f t="shared" ref="B6:B69" si="4">$B$106*B109+$C$106*C109+$D$106*D109+$E$106*E109+$F$106*F109+$G$106*G109+$H$106*H109+$I$106*I109+$J$106*J109+$K$106*K109+$L$106*L109+$M$106*M109</f>
        <v>1.4500000000000001E-2</v>
      </c>
      <c r="C6" s="1364">
        <f t="shared" ref="C6:C69" si="5">$B$106*B214+$C$106*C214+$D$106*D214+$E$106*E214+$F$106*F214+$G$106*G214+$H$106*H214+$I$106*I214+$J$106*J214+$K$106*K214+$L$106*L214+$M$106*M214</f>
        <v>27.43</v>
      </c>
      <c r="D6" s="1364">
        <f ca="1">B6*'Ввод исходных данных'!$G$285+C6+IF('Ввод исходных данных'!$D$159=0,7,10)</f>
        <v>115.58359999999999</v>
      </c>
      <c r="E6" s="1431" t="str">
        <f t="shared" ref="E6:E69" ca="1" si="6">IF(D6&lt;=$N$423,D6,"")</f>
        <v/>
      </c>
      <c r="F6" s="1364">
        <f t="shared" ref="F6:F69" ca="1" si="7">IF(AND($D6&lt;=$N$424,$D6&gt;$N$423),$D6,"")</f>
        <v>115.58359999999999</v>
      </c>
      <c r="G6" s="1364" t="str">
        <f t="shared" ref="G6:G69" ca="1" si="8">IF(AND($D6&lt;=$N$425,$D6&gt;$N$424),$D6,"")</f>
        <v/>
      </c>
      <c r="H6" s="1364" t="str">
        <f t="shared" ref="H6:H69" ca="1" si="9">IF(AND($D6&lt;=$N$426,$D6&gt;$N$425),$D6,"")</f>
        <v/>
      </c>
      <c r="I6" s="1364" t="str">
        <f t="shared" ref="I6:I69" ca="1" si="10">IF(AND($D6&lt;=$N$427,$D6&gt;$N$426),$D6,"")</f>
        <v/>
      </c>
      <c r="J6" s="1364" t="str">
        <f t="shared" ref="J6:J69" ca="1" si="11">IF(AND($D6&lt;=$N$428,$D6&gt;$N$427),$D6,"")</f>
        <v/>
      </c>
      <c r="K6" s="1364" t="str">
        <f t="shared" ref="K6:K69" ca="1" si="12">IF(AND($D6&lt;=$N$429,$D6&gt;$N$428),$D6,"")</f>
        <v/>
      </c>
      <c r="L6" s="1364" t="str">
        <f t="shared" ref="L6:L69" ca="1" si="13">IF(AND($D6&lt;=$N$430,$D6&gt;$N$429),$D6,"")</f>
        <v/>
      </c>
      <c r="M6" s="1364" t="str">
        <f t="shared" ref="M6:M69" ca="1" si="14">IF(AND($D6&gt;$N$430),$D6,"")</f>
        <v/>
      </c>
      <c r="N6">
        <f t="shared" ref="N6:S6" ca="1" si="15">N5</f>
        <v>2.3119801651363805E-2</v>
      </c>
      <c r="O6" s="13">
        <f t="shared" ca="1" si="15"/>
        <v>132.71947843137252</v>
      </c>
      <c r="P6" s="1366">
        <f t="shared" ca="1" si="15"/>
        <v>272.1163843137254</v>
      </c>
      <c r="Q6" s="13">
        <f t="shared" ca="1" si="15"/>
        <v>9.2479206605455225E-3</v>
      </c>
      <c r="R6" s="13">
        <f t="shared" ca="1" si="15"/>
        <v>53.087791372549013</v>
      </c>
      <c r="S6" s="1366">
        <f t="shared" ca="1" si="15"/>
        <v>108.84655372549018</v>
      </c>
      <c r="U6" s="13" t="str">
        <f t="shared" ca="1" si="0"/>
        <v/>
      </c>
      <c r="V6" s="13" t="str">
        <f t="shared" ca="1"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3">
        <v>0.03</v>
      </c>
      <c r="B7" s="13">
        <f t="shared" si="4"/>
        <v>1.7000000000000001E-2</v>
      </c>
      <c r="C7" s="1364">
        <f t="shared" si="5"/>
        <v>29.24</v>
      </c>
      <c r="D7" s="1364">
        <f ca="1">B7*'Ввод исходных данных'!$G$285+C7+IF('Ввод исходных данных'!$D$159=0,7,10)</f>
        <v>131.38559999999998</v>
      </c>
      <c r="E7" s="1431" t="str">
        <f t="shared" ca="1" si="6"/>
        <v/>
      </c>
      <c r="F7" s="1364">
        <f t="shared" ca="1" si="7"/>
        <v>131.38559999999998</v>
      </c>
      <c r="G7" s="1364" t="str">
        <f t="shared" ca="1" si="8"/>
        <v/>
      </c>
      <c r="H7" s="1364" t="str">
        <f t="shared" ca="1" si="9"/>
        <v/>
      </c>
      <c r="I7" s="1364" t="str">
        <f t="shared" ca="1" si="10"/>
        <v/>
      </c>
      <c r="J7" s="1364" t="str">
        <f t="shared" ca="1" si="11"/>
        <v/>
      </c>
      <c r="K7" s="1364" t="str">
        <f t="shared" ca="1" si="12"/>
        <v/>
      </c>
      <c r="L7" s="1364" t="str">
        <f t="shared" ca="1" si="13"/>
        <v/>
      </c>
      <c r="M7" s="1364" t="str">
        <f t="shared" ca="1" si="14"/>
        <v/>
      </c>
      <c r="N7" s="13">
        <f t="shared" ref="N7:N70" ca="1" si="18">N6</f>
        <v>2.3119801651363805E-2</v>
      </c>
      <c r="O7" s="13">
        <f t="shared" ref="O7:P70" ca="1" si="19">O6</f>
        <v>132.71947843137252</v>
      </c>
      <c r="P7" s="1366">
        <f t="shared" ca="1" si="19"/>
        <v>272.1163843137254</v>
      </c>
      <c r="Q7" s="13">
        <f t="shared" ref="Q7:Q70" ca="1" si="20">Q6</f>
        <v>9.2479206605455225E-3</v>
      </c>
      <c r="R7" s="13">
        <f t="shared" ref="R7:S70" ca="1" si="21">R6</f>
        <v>53.087791372549013</v>
      </c>
      <c r="S7" s="1366">
        <f t="shared" ca="1" si="21"/>
        <v>108.84655372549018</v>
      </c>
      <c r="U7" s="13" t="str">
        <f t="shared" ca="1" si="0"/>
        <v/>
      </c>
      <c r="V7" s="13" t="str">
        <f t="shared" ca="1" si="1"/>
        <v/>
      </c>
      <c r="W7" s="13" t="str">
        <f t="shared" ca="1" si="16"/>
        <v/>
      </c>
      <c r="Y7" s="13" t="str">
        <f t="shared" ca="1" si="2"/>
        <v/>
      </c>
      <c r="Z7" s="13" t="str">
        <f t="shared" ca="1" si="3"/>
        <v/>
      </c>
      <c r="AA7" s="13" t="str">
        <f t="shared" ca="1" si="17"/>
        <v/>
      </c>
    </row>
    <row r="8" spans="1:27" x14ac:dyDescent="0.25">
      <c r="A8" s="1363">
        <v>0.04</v>
      </c>
      <c r="B8" s="13">
        <f t="shared" si="4"/>
        <v>1.8499999999999999E-2</v>
      </c>
      <c r="C8" s="1364">
        <f t="shared" si="5"/>
        <v>31.03</v>
      </c>
      <c r="D8" s="1364">
        <f ca="1">B8*'Ввод исходных данных'!$G$285+C8+IF('Ввод исходных данных'!$D$159=0,7,10)</f>
        <v>141.57079999999996</v>
      </c>
      <c r="E8" s="1431" t="str">
        <f t="shared" ca="1" si="6"/>
        <v/>
      </c>
      <c r="F8" s="1364" t="str">
        <f t="shared" ca="1" si="7"/>
        <v/>
      </c>
      <c r="G8" s="1364">
        <f t="shared" ca="1" si="8"/>
        <v>141.57079999999996</v>
      </c>
      <c r="H8" s="1364" t="str">
        <f t="shared" ca="1" si="9"/>
        <v/>
      </c>
      <c r="I8" s="1364" t="str">
        <f t="shared" ca="1" si="10"/>
        <v/>
      </c>
      <c r="J8" s="1364" t="str">
        <f t="shared" ca="1" si="11"/>
        <v/>
      </c>
      <c r="K8" s="1364" t="str">
        <f t="shared" ca="1" si="12"/>
        <v/>
      </c>
      <c r="L8" s="1364" t="str">
        <f t="shared" ca="1" si="13"/>
        <v/>
      </c>
      <c r="M8" s="1364" t="str">
        <f t="shared" ca="1" si="14"/>
        <v/>
      </c>
      <c r="N8" s="13">
        <f t="shared" ca="1" si="18"/>
        <v>2.3119801651363805E-2</v>
      </c>
      <c r="O8" s="13">
        <f t="shared" ca="1" si="19"/>
        <v>132.71947843137252</v>
      </c>
      <c r="P8" s="1366">
        <f t="shared" ca="1" si="19"/>
        <v>272.1163843137254</v>
      </c>
      <c r="Q8" s="13">
        <f t="shared" ca="1" si="20"/>
        <v>9.2479206605455225E-3</v>
      </c>
      <c r="R8" s="13">
        <f t="shared" ca="1" si="21"/>
        <v>53.087791372549013</v>
      </c>
      <c r="S8" s="1366">
        <f t="shared" ca="1" si="21"/>
        <v>108.84655372549018</v>
      </c>
      <c r="U8" s="13" t="str">
        <f t="shared" ca="1" si="0"/>
        <v/>
      </c>
      <c r="V8" s="13" t="str">
        <f t="shared" ca="1" si="1"/>
        <v/>
      </c>
      <c r="W8" s="13" t="str">
        <f t="shared" ca="1" si="16"/>
        <v/>
      </c>
      <c r="Y8" s="13" t="str">
        <f t="shared" ca="1" si="2"/>
        <v/>
      </c>
      <c r="Z8" s="13" t="str">
        <f t="shared" ca="1" si="3"/>
        <v/>
      </c>
      <c r="AA8" s="13" t="str">
        <f t="shared" ca="1" si="17"/>
        <v/>
      </c>
    </row>
    <row r="9" spans="1:27" x14ac:dyDescent="0.25">
      <c r="A9" s="1363">
        <v>0.05</v>
      </c>
      <c r="B9" s="13">
        <f t="shared" si="4"/>
        <v>2.0199999999999999E-2</v>
      </c>
      <c r="C9" s="1364">
        <f t="shared" si="5"/>
        <v>33.21</v>
      </c>
      <c r="D9" s="1364">
        <f ca="1">B9*'Ввод исходных данных'!$G$285+C9+IF('Ввод исходных данных'!$D$159=0,7,10)</f>
        <v>153.26535999999999</v>
      </c>
      <c r="E9" s="1431" t="str">
        <f t="shared" ca="1" si="6"/>
        <v/>
      </c>
      <c r="F9" s="1364" t="str">
        <f t="shared" ca="1" si="7"/>
        <v/>
      </c>
      <c r="G9" s="1364">
        <f t="shared" ca="1" si="8"/>
        <v>153.26535999999999</v>
      </c>
      <c r="H9" s="1364" t="str">
        <f t="shared" ca="1" si="9"/>
        <v/>
      </c>
      <c r="I9" s="1364" t="str">
        <f t="shared" ca="1" si="10"/>
        <v/>
      </c>
      <c r="J9" s="1364" t="str">
        <f t="shared" ca="1" si="11"/>
        <v/>
      </c>
      <c r="K9" s="1364" t="str">
        <f t="shared" ca="1" si="12"/>
        <v/>
      </c>
      <c r="L9" s="1364" t="str">
        <f t="shared" ca="1" si="13"/>
        <v/>
      </c>
      <c r="M9" s="1364" t="str">
        <f t="shared" ca="1" si="14"/>
        <v/>
      </c>
      <c r="N9" s="13">
        <f t="shared" ca="1" si="18"/>
        <v>2.3119801651363805E-2</v>
      </c>
      <c r="O9" s="13">
        <f t="shared" ca="1" si="19"/>
        <v>132.71947843137252</v>
      </c>
      <c r="P9" s="1366">
        <f t="shared" ca="1" si="19"/>
        <v>272.1163843137254</v>
      </c>
      <c r="Q9" s="13">
        <f t="shared" ca="1" si="20"/>
        <v>9.2479206605455225E-3</v>
      </c>
      <c r="R9" s="13">
        <f t="shared" ca="1" si="21"/>
        <v>53.087791372549013</v>
      </c>
      <c r="S9" s="1366">
        <f t="shared" ca="1" si="21"/>
        <v>108.84655372549018</v>
      </c>
      <c r="U9" s="13" t="str">
        <f t="shared" ca="1" si="0"/>
        <v/>
      </c>
      <c r="V9" s="13" t="str">
        <f t="shared" ca="1" si="1"/>
        <v/>
      </c>
      <c r="W9" s="13" t="str">
        <f t="shared" ca="1" si="16"/>
        <v/>
      </c>
      <c r="Y9" s="13" t="str">
        <f t="shared" ca="1" si="2"/>
        <v/>
      </c>
      <c r="Z9" s="13" t="str">
        <f t="shared" ca="1" si="3"/>
        <v/>
      </c>
      <c r="AA9" s="13" t="str">
        <f t="shared" ca="1" si="17"/>
        <v/>
      </c>
    </row>
    <row r="10" spans="1:27" x14ac:dyDescent="0.25">
      <c r="A10" s="1363">
        <v>0.06</v>
      </c>
      <c r="B10" s="13">
        <f t="shared" si="4"/>
        <v>2.18E-2</v>
      </c>
      <c r="C10" s="1364">
        <f t="shared" si="5"/>
        <v>34.26</v>
      </c>
      <c r="D10" s="1364">
        <f ca="1">B10*'Ввод исходных данных'!$G$285+C10+IF('Ввод исходных данных'!$D$159=0,7,10)</f>
        <v>163.27023999999997</v>
      </c>
      <c r="E10" s="1431" t="str">
        <f t="shared" ca="1" si="6"/>
        <v/>
      </c>
      <c r="F10" s="1364" t="str">
        <f t="shared" ca="1" si="7"/>
        <v/>
      </c>
      <c r="G10" s="1364" t="str">
        <f t="shared" ca="1" si="8"/>
        <v/>
      </c>
      <c r="H10" s="1364">
        <f t="shared" ca="1" si="9"/>
        <v>163.27023999999997</v>
      </c>
      <c r="I10" s="1364" t="str">
        <f t="shared" ca="1" si="10"/>
        <v/>
      </c>
      <c r="J10" s="1364" t="str">
        <f t="shared" ca="1" si="11"/>
        <v/>
      </c>
      <c r="K10" s="1364" t="str">
        <f t="shared" ca="1" si="12"/>
        <v/>
      </c>
      <c r="L10" s="1364" t="str">
        <f t="shared" ca="1" si="13"/>
        <v/>
      </c>
      <c r="M10" s="1364" t="str">
        <f t="shared" ca="1" si="14"/>
        <v/>
      </c>
      <c r="N10" s="13">
        <f t="shared" ca="1" si="18"/>
        <v>2.3119801651363805E-2</v>
      </c>
      <c r="O10" s="13">
        <f t="shared" ca="1" si="19"/>
        <v>132.71947843137252</v>
      </c>
      <c r="P10" s="1366">
        <f t="shared" ca="1" si="19"/>
        <v>272.1163843137254</v>
      </c>
      <c r="Q10" s="13">
        <f t="shared" ca="1" si="20"/>
        <v>9.2479206605455225E-3</v>
      </c>
      <c r="R10" s="13">
        <f t="shared" ca="1" si="21"/>
        <v>53.087791372549013</v>
      </c>
      <c r="S10" s="1366">
        <f t="shared" ca="1" si="21"/>
        <v>108.84655372549018</v>
      </c>
      <c r="U10" s="13" t="str">
        <f t="shared" ca="1" si="0"/>
        <v/>
      </c>
      <c r="V10" s="13" t="str">
        <f t="shared" ca="1" si="1"/>
        <v/>
      </c>
      <c r="W10" s="13" t="str">
        <f t="shared" ca="1" si="16"/>
        <v/>
      </c>
      <c r="Y10" s="13" t="str">
        <f t="shared" ca="1" si="2"/>
        <v/>
      </c>
      <c r="Z10" s="13" t="str">
        <f t="shared" ca="1" si="3"/>
        <v/>
      </c>
      <c r="AA10" s="13" t="str">
        <f t="shared" ca="1" si="17"/>
        <v/>
      </c>
    </row>
    <row r="11" spans="1:27" x14ac:dyDescent="0.25">
      <c r="A11" s="1363">
        <v>7.0000000000000007E-2</v>
      </c>
      <c r="B11" s="13">
        <f t="shared" si="4"/>
        <v>2.3300000000000001E-2</v>
      </c>
      <c r="C11" s="1364">
        <f t="shared" si="5"/>
        <v>35.880000000000003</v>
      </c>
      <c r="D11" s="1364">
        <f ca="1">B11*'Ввод исходных данных'!$G$285+C11+IF('Ввод исходных данных'!$D$159=0,7,10)</f>
        <v>173.28543999999999</v>
      </c>
      <c r="E11" s="1431" t="str">
        <f t="shared" ca="1" si="6"/>
        <v/>
      </c>
      <c r="F11" s="1364" t="str">
        <f t="shared" ca="1" si="7"/>
        <v/>
      </c>
      <c r="G11" s="1364" t="str">
        <f t="shared" ca="1" si="8"/>
        <v/>
      </c>
      <c r="H11" s="1364">
        <f t="shared" ca="1" si="9"/>
        <v>173.28543999999999</v>
      </c>
      <c r="I11" s="1364" t="str">
        <f t="shared" ca="1" si="10"/>
        <v/>
      </c>
      <c r="J11" s="1364" t="str">
        <f t="shared" ca="1" si="11"/>
        <v/>
      </c>
      <c r="K11" s="1364" t="str">
        <f t="shared" ca="1" si="12"/>
        <v/>
      </c>
      <c r="L11" s="1364" t="str">
        <f t="shared" ca="1" si="13"/>
        <v/>
      </c>
      <c r="M11" s="1364" t="str">
        <f t="shared" ca="1" si="14"/>
        <v/>
      </c>
      <c r="N11" s="13">
        <f t="shared" ca="1" si="18"/>
        <v>2.3119801651363805E-2</v>
      </c>
      <c r="O11" s="13">
        <f t="shared" ca="1" si="19"/>
        <v>132.71947843137252</v>
      </c>
      <c r="P11" s="1366">
        <f t="shared" ca="1" si="19"/>
        <v>272.1163843137254</v>
      </c>
      <c r="Q11" s="13">
        <f t="shared" ca="1" si="20"/>
        <v>9.2479206605455225E-3</v>
      </c>
      <c r="R11" s="13">
        <f t="shared" ca="1" si="21"/>
        <v>53.087791372549013</v>
      </c>
      <c r="S11" s="1366">
        <f t="shared" ca="1" si="21"/>
        <v>108.84655372549018</v>
      </c>
      <c r="U11" s="13" t="str">
        <f t="shared" ca="1" si="0"/>
        <v/>
      </c>
      <c r="V11" s="13" t="str">
        <f t="shared" ca="1" si="1"/>
        <v/>
      </c>
      <c r="W11" s="13" t="str">
        <f t="shared" ca="1" si="16"/>
        <v/>
      </c>
      <c r="Y11" s="13" t="str">
        <f t="shared" ca="1" si="2"/>
        <v/>
      </c>
      <c r="Z11" s="13" t="str">
        <f t="shared" ca="1" si="3"/>
        <v/>
      </c>
      <c r="AA11" s="13" t="str">
        <f t="shared" ca="1" si="17"/>
        <v/>
      </c>
    </row>
    <row r="12" spans="1:27" x14ac:dyDescent="0.25">
      <c r="A12" s="1363">
        <v>0.08</v>
      </c>
      <c r="B12" s="13">
        <f t="shared" si="4"/>
        <v>2.46E-2</v>
      </c>
      <c r="C12" s="1364">
        <f t="shared" si="5"/>
        <v>37.03</v>
      </c>
      <c r="D12" s="1364">
        <f ca="1">B12*'Ввод исходных данных'!$G$285+C12+IF('Ввод исходных данных'!$D$159=0,7,10)</f>
        <v>181.71127999999999</v>
      </c>
      <c r="E12" s="1431" t="str">
        <f t="shared" ca="1" si="6"/>
        <v/>
      </c>
      <c r="F12" s="1364" t="str">
        <f t="shared" ca="1" si="7"/>
        <v/>
      </c>
      <c r="G12" s="1364" t="str">
        <f t="shared" ca="1" si="8"/>
        <v/>
      </c>
      <c r="H12" s="1364">
        <f t="shared" ca="1" si="9"/>
        <v>181.71127999999999</v>
      </c>
      <c r="I12" s="1364" t="str">
        <f t="shared" ca="1" si="10"/>
        <v/>
      </c>
      <c r="J12" s="1364" t="str">
        <f t="shared" ca="1" si="11"/>
        <v/>
      </c>
      <c r="K12" s="1364" t="str">
        <f t="shared" ca="1" si="12"/>
        <v/>
      </c>
      <c r="L12" s="1364" t="str">
        <f t="shared" ca="1" si="13"/>
        <v/>
      </c>
      <c r="M12" s="1364" t="str">
        <f t="shared" ca="1" si="14"/>
        <v/>
      </c>
      <c r="N12" s="13">
        <f t="shared" ca="1" si="18"/>
        <v>2.3119801651363805E-2</v>
      </c>
      <c r="O12" s="13">
        <f t="shared" ca="1" si="19"/>
        <v>132.71947843137252</v>
      </c>
      <c r="P12" s="1366">
        <f t="shared" ca="1" si="19"/>
        <v>272.1163843137254</v>
      </c>
      <c r="Q12" s="13">
        <f t="shared" ca="1" si="20"/>
        <v>9.2479206605455225E-3</v>
      </c>
      <c r="R12" s="13">
        <f t="shared" ca="1" si="21"/>
        <v>53.087791372549013</v>
      </c>
      <c r="S12" s="1366">
        <f t="shared" ca="1" si="21"/>
        <v>108.84655372549018</v>
      </c>
      <c r="U12" s="13" t="str">
        <f t="shared" ca="1" si="0"/>
        <v/>
      </c>
      <c r="V12" s="13" t="str">
        <f t="shared" ca="1" si="1"/>
        <v/>
      </c>
      <c r="W12" s="13" t="str">
        <f t="shared" ca="1" si="16"/>
        <v/>
      </c>
      <c r="Y12" s="13" t="str">
        <f t="shared" ca="1" si="2"/>
        <v/>
      </c>
      <c r="Z12" s="13" t="str">
        <f t="shared" ca="1" si="3"/>
        <v/>
      </c>
      <c r="AA12" s="13" t="str">
        <f t="shared" ca="1" si="17"/>
        <v/>
      </c>
    </row>
    <row r="13" spans="1:27" x14ac:dyDescent="0.25">
      <c r="A13" s="1363">
        <v>0.09</v>
      </c>
      <c r="B13" s="13">
        <f t="shared" si="4"/>
        <v>2.5600000000000001E-2</v>
      </c>
      <c r="C13" s="1364">
        <f t="shared" si="5"/>
        <v>39.380000000000003</v>
      </c>
      <c r="D13" s="1364">
        <f ca="1">B13*'Ввод исходных данных'!$G$285+C13+IF('Ввод исходных данных'!$D$159=0,7,10)</f>
        <v>189.65807999999998</v>
      </c>
      <c r="E13" s="1431" t="str">
        <f t="shared" ca="1" si="6"/>
        <v/>
      </c>
      <c r="F13" s="1364" t="str">
        <f t="shared" ca="1" si="7"/>
        <v/>
      </c>
      <c r="G13" s="1364" t="str">
        <f t="shared" ca="1" si="8"/>
        <v/>
      </c>
      <c r="H13" s="1364">
        <f t="shared" ca="1" si="9"/>
        <v>189.65807999999998</v>
      </c>
      <c r="I13" s="1364" t="str">
        <f t="shared" ca="1" si="10"/>
        <v/>
      </c>
      <c r="J13" s="1364" t="str">
        <f t="shared" ca="1" si="11"/>
        <v/>
      </c>
      <c r="K13" s="1364" t="str">
        <f t="shared" ca="1" si="12"/>
        <v/>
      </c>
      <c r="L13" s="1364" t="str">
        <f t="shared" ca="1" si="13"/>
        <v/>
      </c>
      <c r="M13" s="1364" t="str">
        <f t="shared" ca="1" si="14"/>
        <v/>
      </c>
      <c r="N13" s="13">
        <f t="shared" ca="1" si="18"/>
        <v>2.3119801651363805E-2</v>
      </c>
      <c r="O13" s="13">
        <f t="shared" ca="1" si="19"/>
        <v>132.71947843137252</v>
      </c>
      <c r="P13" s="1366">
        <f t="shared" ca="1" si="19"/>
        <v>272.1163843137254</v>
      </c>
      <c r="Q13" s="13">
        <f t="shared" ca="1" si="20"/>
        <v>9.2479206605455225E-3</v>
      </c>
      <c r="R13" s="13">
        <f t="shared" ca="1" si="21"/>
        <v>53.087791372549013</v>
      </c>
      <c r="S13" s="1366">
        <f t="shared" ca="1" si="21"/>
        <v>108.84655372549018</v>
      </c>
      <c r="U13" s="13" t="str">
        <f t="shared" ca="1" si="0"/>
        <v/>
      </c>
      <c r="V13" s="13" t="str">
        <f t="shared" ca="1" si="1"/>
        <v/>
      </c>
      <c r="W13" s="13" t="str">
        <f t="shared" ca="1" si="16"/>
        <v/>
      </c>
      <c r="Y13" s="13" t="str">
        <f t="shared" ca="1" si="2"/>
        <v/>
      </c>
      <c r="Z13" s="13" t="str">
        <f t="shared" ca="1" si="3"/>
        <v/>
      </c>
      <c r="AA13" s="13" t="str">
        <f t="shared" ca="1" si="17"/>
        <v/>
      </c>
    </row>
    <row r="14" spans="1:27" x14ac:dyDescent="0.25">
      <c r="A14" s="1363">
        <v>0.1</v>
      </c>
      <c r="B14" s="13">
        <f t="shared" si="4"/>
        <v>2.64E-2</v>
      </c>
      <c r="C14" s="1364">
        <f t="shared" si="5"/>
        <v>40.81</v>
      </c>
      <c r="D14" s="1364">
        <f ca="1">B14*'Ввод исходных данных'!$G$285+C14+IF('Ввод исходных данных'!$D$159=0,7,10)</f>
        <v>195.56551999999999</v>
      </c>
      <c r="E14" s="1431" t="str">
        <f t="shared" ca="1" si="6"/>
        <v/>
      </c>
      <c r="F14" s="1364" t="str">
        <f t="shared" ca="1" si="7"/>
        <v/>
      </c>
      <c r="G14" s="1364" t="str">
        <f t="shared" ca="1" si="8"/>
        <v/>
      </c>
      <c r="H14" s="1364" t="str">
        <f t="shared" ca="1" si="9"/>
        <v/>
      </c>
      <c r="I14" s="1364">
        <f t="shared" ca="1" si="10"/>
        <v>195.56551999999999</v>
      </c>
      <c r="J14" s="1364" t="str">
        <f t="shared" ca="1" si="11"/>
        <v/>
      </c>
      <c r="K14" s="1364" t="str">
        <f t="shared" ca="1" si="12"/>
        <v/>
      </c>
      <c r="L14" s="1364" t="str">
        <f t="shared" ca="1" si="13"/>
        <v/>
      </c>
      <c r="M14" s="1364" t="str">
        <f t="shared" ca="1" si="14"/>
        <v/>
      </c>
      <c r="N14" s="13">
        <f t="shared" ca="1" si="18"/>
        <v>2.3119801651363805E-2</v>
      </c>
      <c r="O14" s="13">
        <f t="shared" ca="1" si="19"/>
        <v>132.71947843137252</v>
      </c>
      <c r="P14" s="1366">
        <f t="shared" ca="1" si="19"/>
        <v>272.1163843137254</v>
      </c>
      <c r="Q14" s="13">
        <f t="shared" ca="1" si="20"/>
        <v>9.2479206605455225E-3</v>
      </c>
      <c r="R14" s="13">
        <f t="shared" ca="1" si="21"/>
        <v>53.087791372549013</v>
      </c>
      <c r="S14" s="1366">
        <f t="shared" ca="1" si="21"/>
        <v>108.84655372549018</v>
      </c>
      <c r="U14" s="13" t="str">
        <f t="shared" ca="1" si="0"/>
        <v/>
      </c>
      <c r="V14" s="13" t="str">
        <f t="shared" ca="1" si="1"/>
        <v/>
      </c>
      <c r="W14" s="13" t="str">
        <f t="shared" ca="1" si="16"/>
        <v/>
      </c>
      <c r="Y14" s="13" t="str">
        <f t="shared" ca="1" si="2"/>
        <v/>
      </c>
      <c r="Z14" s="13" t="str">
        <f t="shared" ca="1" si="3"/>
        <v/>
      </c>
      <c r="AA14" s="13" t="str">
        <f t="shared" ca="1" si="17"/>
        <v/>
      </c>
    </row>
    <row r="15" spans="1:27" x14ac:dyDescent="0.25">
      <c r="A15" s="1363">
        <v>0.11</v>
      </c>
      <c r="B15" s="13">
        <f t="shared" si="4"/>
        <v>2.7199999999999998E-2</v>
      </c>
      <c r="C15" s="1364">
        <f t="shared" si="5"/>
        <v>43.01</v>
      </c>
      <c r="D15" s="1364">
        <f ca="1">B15*'Ввод исходных данных'!$G$285+C15+IF('Ввод исходных данных'!$D$159=0,7,10)</f>
        <v>202.24295999999995</v>
      </c>
      <c r="E15" s="1431" t="str">
        <f t="shared" ca="1" si="6"/>
        <v/>
      </c>
      <c r="F15" s="1364" t="str">
        <f t="shared" ca="1" si="7"/>
        <v/>
      </c>
      <c r="G15" s="1364" t="str">
        <f t="shared" ca="1" si="8"/>
        <v/>
      </c>
      <c r="H15" s="1364" t="str">
        <f t="shared" ca="1" si="9"/>
        <v/>
      </c>
      <c r="I15" s="1364">
        <f t="shared" ca="1" si="10"/>
        <v>202.24295999999995</v>
      </c>
      <c r="J15" s="1364" t="str">
        <f t="shared" ca="1" si="11"/>
        <v/>
      </c>
      <c r="K15" s="1364" t="str">
        <f t="shared" ca="1" si="12"/>
        <v/>
      </c>
      <c r="L15" s="1364" t="str">
        <f t="shared" ca="1" si="13"/>
        <v/>
      </c>
      <c r="M15" s="1364" t="str">
        <f t="shared" ca="1" si="14"/>
        <v/>
      </c>
      <c r="N15" s="13">
        <f t="shared" ca="1" si="18"/>
        <v>2.3119801651363805E-2</v>
      </c>
      <c r="O15" s="13">
        <f t="shared" ca="1" si="19"/>
        <v>132.71947843137252</v>
      </c>
      <c r="P15" s="1366">
        <f t="shared" ca="1" si="19"/>
        <v>272.1163843137254</v>
      </c>
      <c r="Q15" s="13">
        <f t="shared" ca="1" si="20"/>
        <v>9.2479206605455225E-3</v>
      </c>
      <c r="R15" s="13">
        <f t="shared" ca="1" si="21"/>
        <v>53.087791372549013</v>
      </c>
      <c r="S15" s="1366">
        <f t="shared" ca="1" si="21"/>
        <v>108.84655372549018</v>
      </c>
      <c r="U15" s="13" t="str">
        <f t="shared" ca="1" si="0"/>
        <v/>
      </c>
      <c r="V15" s="13" t="str">
        <f t="shared" ca="1" si="1"/>
        <v/>
      </c>
      <c r="W15" s="13" t="str">
        <f t="shared" ca="1" si="16"/>
        <v/>
      </c>
      <c r="Y15" s="13" t="str">
        <f t="shared" ca="1" si="2"/>
        <v/>
      </c>
      <c r="Z15" s="13" t="str">
        <f t="shared" ca="1" si="3"/>
        <v/>
      </c>
      <c r="AA15" s="13" t="str">
        <f t="shared" ca="1" si="17"/>
        <v/>
      </c>
    </row>
    <row r="16" spans="1:27" x14ac:dyDescent="0.25">
      <c r="A16" s="1363">
        <v>0.12</v>
      </c>
      <c r="B16" s="13">
        <f t="shared" si="4"/>
        <v>2.8000000000000001E-2</v>
      </c>
      <c r="C16" s="1364">
        <f t="shared" si="5"/>
        <v>43.7</v>
      </c>
      <c r="D16" s="1364">
        <f ca="1">B16*'Ввод исходных данных'!$G$285+C16+IF('Ввод исходных данных'!$D$159=0,7,10)</f>
        <v>207.41039999999998</v>
      </c>
      <c r="E16" s="1431" t="str">
        <f t="shared" ca="1" si="6"/>
        <v/>
      </c>
      <c r="F16" s="1364" t="str">
        <f t="shared" ca="1" si="7"/>
        <v/>
      </c>
      <c r="G16" s="1364" t="str">
        <f t="shared" ca="1" si="8"/>
        <v/>
      </c>
      <c r="H16" s="1364" t="str">
        <f t="shared" ca="1" si="9"/>
        <v/>
      </c>
      <c r="I16" s="1364">
        <f t="shared" ca="1" si="10"/>
        <v>207.41039999999998</v>
      </c>
      <c r="J16" s="1364" t="str">
        <f t="shared" ca="1" si="11"/>
        <v/>
      </c>
      <c r="K16" s="1364" t="str">
        <f t="shared" ca="1" si="12"/>
        <v/>
      </c>
      <c r="L16" s="1364" t="str">
        <f t="shared" ca="1" si="13"/>
        <v/>
      </c>
      <c r="M16" s="1364" t="str">
        <f t="shared" ca="1" si="14"/>
        <v/>
      </c>
      <c r="N16" s="13">
        <f t="shared" ca="1" si="18"/>
        <v>2.3119801651363805E-2</v>
      </c>
      <c r="O16" s="13">
        <f t="shared" ca="1" si="19"/>
        <v>132.71947843137252</v>
      </c>
      <c r="P16" s="1366">
        <f t="shared" ca="1" si="19"/>
        <v>272.1163843137254</v>
      </c>
      <c r="Q16" s="13">
        <f t="shared" ca="1" si="20"/>
        <v>9.2479206605455225E-3</v>
      </c>
      <c r="R16" s="13">
        <f t="shared" ca="1" si="21"/>
        <v>53.087791372549013</v>
      </c>
      <c r="S16" s="1366">
        <f t="shared" ca="1" si="21"/>
        <v>108.84655372549018</v>
      </c>
      <c r="U16" s="13" t="str">
        <f t="shared" ca="1" si="0"/>
        <v/>
      </c>
      <c r="V16" s="13" t="str">
        <f t="shared" ca="1" si="1"/>
        <v/>
      </c>
      <c r="W16" s="13" t="str">
        <f t="shared" ca="1" si="16"/>
        <v/>
      </c>
      <c r="Y16" s="13" t="str">
        <f t="shared" ca="1" si="2"/>
        <v/>
      </c>
      <c r="Z16" s="13" t="str">
        <f t="shared" ca="1" si="3"/>
        <v/>
      </c>
      <c r="AA16" s="13" t="str">
        <f t="shared" ca="1" si="17"/>
        <v/>
      </c>
    </row>
    <row r="17" spans="1:27" x14ac:dyDescent="0.25">
      <c r="A17" s="1363">
        <v>0.13</v>
      </c>
      <c r="B17" s="13">
        <f t="shared" si="4"/>
        <v>2.87E-2</v>
      </c>
      <c r="C17" s="1364">
        <f t="shared" si="5"/>
        <v>44.43</v>
      </c>
      <c r="D17" s="1364">
        <f ca="1">B17*'Ввод исходных данных'!$G$285+C17+IF('Ввод исходных данных'!$D$159=0,7,10)</f>
        <v>212.05815999999999</v>
      </c>
      <c r="E17" s="1431" t="str">
        <f t="shared" ca="1" si="6"/>
        <v/>
      </c>
      <c r="F17" s="1364" t="str">
        <f t="shared" ca="1" si="7"/>
        <v/>
      </c>
      <c r="G17" s="1364" t="str">
        <f t="shared" ca="1" si="8"/>
        <v/>
      </c>
      <c r="H17" s="1364" t="str">
        <f t="shared" ca="1" si="9"/>
        <v/>
      </c>
      <c r="I17" s="1364">
        <f t="shared" ca="1" si="10"/>
        <v>212.05815999999999</v>
      </c>
      <c r="J17" s="1364" t="str">
        <f t="shared" ca="1" si="11"/>
        <v/>
      </c>
      <c r="K17" s="1364" t="str">
        <f t="shared" ca="1" si="12"/>
        <v/>
      </c>
      <c r="L17" s="1364" t="str">
        <f t="shared" ca="1" si="13"/>
        <v/>
      </c>
      <c r="M17" s="1364" t="str">
        <f t="shared" ca="1" si="14"/>
        <v/>
      </c>
      <c r="N17" s="13">
        <f t="shared" ca="1" si="18"/>
        <v>2.3119801651363805E-2</v>
      </c>
      <c r="O17" s="13">
        <f t="shared" ca="1" si="19"/>
        <v>132.71947843137252</v>
      </c>
      <c r="P17" s="1366">
        <f t="shared" ca="1" si="19"/>
        <v>272.1163843137254</v>
      </c>
      <c r="Q17" s="13">
        <f t="shared" ca="1" si="20"/>
        <v>9.2479206605455225E-3</v>
      </c>
      <c r="R17" s="13">
        <f t="shared" ca="1" si="21"/>
        <v>53.087791372549013</v>
      </c>
      <c r="S17" s="1366">
        <f t="shared" ca="1" si="21"/>
        <v>108.84655372549018</v>
      </c>
      <c r="U17" s="13" t="str">
        <f t="shared" ca="1" si="0"/>
        <v/>
      </c>
      <c r="V17" s="13" t="str">
        <f t="shared" ca="1" si="1"/>
        <v/>
      </c>
      <c r="W17" s="13" t="str">
        <f t="shared" ca="1" si="16"/>
        <v/>
      </c>
      <c r="Y17" s="13" t="str">
        <f t="shared" ca="1" si="2"/>
        <v/>
      </c>
      <c r="Z17" s="13" t="str">
        <f t="shared" ca="1" si="3"/>
        <v/>
      </c>
      <c r="AA17" s="13" t="str">
        <f t="shared" ca="1" si="17"/>
        <v/>
      </c>
    </row>
    <row r="18" spans="1:27" x14ac:dyDescent="0.25">
      <c r="A18" s="1363">
        <v>0.14000000000000001</v>
      </c>
      <c r="B18" s="13">
        <f t="shared" si="4"/>
        <v>2.92E-2</v>
      </c>
      <c r="C18" s="1364">
        <f t="shared" si="5"/>
        <v>45.09</v>
      </c>
      <c r="D18" s="1364">
        <f ca="1">B18*'Ввод исходных данных'!$G$285+C18+IF('Ввод исходных данных'!$D$159=0,7,10)</f>
        <v>215.51655999999997</v>
      </c>
      <c r="E18" s="1431" t="str">
        <f t="shared" ca="1" si="6"/>
        <v/>
      </c>
      <c r="F18" s="1364" t="str">
        <f t="shared" ca="1" si="7"/>
        <v/>
      </c>
      <c r="G18" s="1364" t="str">
        <f t="shared" ca="1" si="8"/>
        <v/>
      </c>
      <c r="H18" s="1364" t="str">
        <f t="shared" ca="1" si="9"/>
        <v/>
      </c>
      <c r="I18" s="1364">
        <f t="shared" ca="1" si="10"/>
        <v>215.51655999999997</v>
      </c>
      <c r="J18" s="1364" t="str">
        <f t="shared" ca="1" si="11"/>
        <v/>
      </c>
      <c r="K18" s="1364" t="str">
        <f t="shared" ca="1" si="12"/>
        <v/>
      </c>
      <c r="L18" s="1364" t="str">
        <f t="shared" ca="1" si="13"/>
        <v/>
      </c>
      <c r="M18" s="1364" t="str">
        <f t="shared" ca="1" si="14"/>
        <v/>
      </c>
      <c r="N18" s="13">
        <f t="shared" ca="1" si="18"/>
        <v>2.3119801651363805E-2</v>
      </c>
      <c r="O18" s="13">
        <f t="shared" ca="1" si="19"/>
        <v>132.71947843137252</v>
      </c>
      <c r="P18" s="1366">
        <f t="shared" ca="1" si="19"/>
        <v>272.1163843137254</v>
      </c>
      <c r="Q18" s="13">
        <f t="shared" ca="1" si="20"/>
        <v>9.2479206605455225E-3</v>
      </c>
      <c r="R18" s="13">
        <f t="shared" ca="1" si="21"/>
        <v>53.087791372549013</v>
      </c>
      <c r="S18" s="1366">
        <f t="shared" ca="1" si="21"/>
        <v>108.84655372549018</v>
      </c>
      <c r="U18" s="13" t="str">
        <f t="shared" ca="1" si="0"/>
        <v/>
      </c>
      <c r="V18" s="13" t="str">
        <f t="shared" ca="1" si="1"/>
        <v/>
      </c>
      <c r="W18" s="13" t="str">
        <f t="shared" ca="1" si="16"/>
        <v/>
      </c>
      <c r="Y18" s="13" t="str">
        <f t="shared" ca="1" si="2"/>
        <v/>
      </c>
      <c r="Z18" s="13" t="str">
        <f t="shared" ca="1" si="3"/>
        <v/>
      </c>
      <c r="AA18" s="13" t="str">
        <f t="shared" ca="1" si="17"/>
        <v/>
      </c>
    </row>
    <row r="19" spans="1:27" x14ac:dyDescent="0.25">
      <c r="A19" s="1363">
        <v>0.15</v>
      </c>
      <c r="B19" s="13">
        <f t="shared" si="4"/>
        <v>2.9700000000000001E-2</v>
      </c>
      <c r="C19" s="1364">
        <f t="shared" si="5"/>
        <v>46.65</v>
      </c>
      <c r="D19" s="1364">
        <f ca="1">B19*'Ввод исходных данных'!$G$285+C19+IF('Ввод исходных данных'!$D$159=0,7,10)</f>
        <v>219.87495999999999</v>
      </c>
      <c r="E19" s="1431" t="str">
        <f t="shared" ca="1" si="6"/>
        <v/>
      </c>
      <c r="F19" s="1364" t="str">
        <f t="shared" ca="1" si="7"/>
        <v/>
      </c>
      <c r="G19" s="1364" t="str">
        <f t="shared" ca="1" si="8"/>
        <v/>
      </c>
      <c r="H19" s="1364" t="str">
        <f t="shared" ca="1" si="9"/>
        <v/>
      </c>
      <c r="I19" s="1364">
        <f t="shared" ca="1" si="10"/>
        <v>219.87495999999999</v>
      </c>
      <c r="J19" s="1364" t="str">
        <f t="shared" ca="1" si="11"/>
        <v/>
      </c>
      <c r="K19" s="1364" t="str">
        <f t="shared" ca="1" si="12"/>
        <v/>
      </c>
      <c r="L19" s="1364" t="str">
        <f t="shared" ca="1" si="13"/>
        <v/>
      </c>
      <c r="M19" s="1364" t="str">
        <f t="shared" ca="1" si="14"/>
        <v/>
      </c>
      <c r="N19" s="13">
        <f t="shared" ca="1" si="18"/>
        <v>2.3119801651363805E-2</v>
      </c>
      <c r="O19" s="13">
        <f t="shared" ca="1" si="19"/>
        <v>132.71947843137252</v>
      </c>
      <c r="P19" s="1366">
        <f t="shared" ca="1" si="19"/>
        <v>272.1163843137254</v>
      </c>
      <c r="Q19" s="13">
        <f t="shared" ca="1" si="20"/>
        <v>9.2479206605455225E-3</v>
      </c>
      <c r="R19" s="13">
        <f t="shared" ca="1" si="21"/>
        <v>53.087791372549013</v>
      </c>
      <c r="S19" s="1366">
        <f t="shared" ca="1" si="21"/>
        <v>108.84655372549018</v>
      </c>
      <c r="U19" s="13" t="str">
        <f t="shared" ca="1" si="0"/>
        <v/>
      </c>
      <c r="V19" s="13" t="str">
        <f t="shared" ca="1" si="1"/>
        <v/>
      </c>
      <c r="W19" s="13" t="str">
        <f t="shared" ca="1" si="16"/>
        <v/>
      </c>
      <c r="Y19" s="13" t="str">
        <f t="shared" ca="1" si="2"/>
        <v/>
      </c>
      <c r="Z19" s="13" t="str">
        <f t="shared" ca="1" si="3"/>
        <v/>
      </c>
      <c r="AA19" s="13" t="str">
        <f t="shared" ca="1" si="17"/>
        <v/>
      </c>
    </row>
    <row r="20" spans="1:27" x14ac:dyDescent="0.25">
      <c r="A20" s="1363">
        <v>0.16</v>
      </c>
      <c r="B20" s="13">
        <f t="shared" si="4"/>
        <v>3.0099999999999998E-2</v>
      </c>
      <c r="C20" s="1364">
        <f t="shared" si="5"/>
        <v>48.2</v>
      </c>
      <c r="D20" s="1364">
        <f ca="1">B20*'Ввод исходных данных'!$G$285+C20+IF('Ввод исходных данных'!$D$159=0,7,10)</f>
        <v>223.66368</v>
      </c>
      <c r="E20" s="1431" t="str">
        <f t="shared" ca="1" si="6"/>
        <v/>
      </c>
      <c r="F20" s="1364" t="str">
        <f t="shared" ca="1" si="7"/>
        <v/>
      </c>
      <c r="G20" s="1364" t="str">
        <f t="shared" ca="1" si="8"/>
        <v/>
      </c>
      <c r="H20" s="1364" t="str">
        <f t="shared" ca="1" si="9"/>
        <v/>
      </c>
      <c r="I20" s="1364">
        <f t="shared" ca="1" si="10"/>
        <v>223.66368</v>
      </c>
      <c r="J20" s="1364" t="str">
        <f t="shared" ca="1" si="11"/>
        <v/>
      </c>
      <c r="K20" s="1364" t="str">
        <f t="shared" ca="1" si="12"/>
        <v/>
      </c>
      <c r="L20" s="1364" t="str">
        <f t="shared" ca="1" si="13"/>
        <v/>
      </c>
      <c r="M20" s="1364" t="str">
        <f t="shared" ca="1" si="14"/>
        <v/>
      </c>
      <c r="N20" s="13">
        <f t="shared" ca="1" si="18"/>
        <v>2.3119801651363805E-2</v>
      </c>
      <c r="O20" s="13">
        <f t="shared" ca="1" si="19"/>
        <v>132.71947843137252</v>
      </c>
      <c r="P20" s="1366">
        <f t="shared" ca="1" si="19"/>
        <v>272.1163843137254</v>
      </c>
      <c r="Q20" s="13">
        <f t="shared" ca="1" si="20"/>
        <v>9.2479206605455225E-3</v>
      </c>
      <c r="R20" s="13">
        <f t="shared" ca="1" si="21"/>
        <v>53.087791372549013</v>
      </c>
      <c r="S20" s="1366">
        <f t="shared" ca="1" si="21"/>
        <v>108.84655372549018</v>
      </c>
      <c r="U20" s="13" t="str">
        <f t="shared" ca="1" si="0"/>
        <v/>
      </c>
      <c r="V20" s="13" t="str">
        <f t="shared" ca="1" si="1"/>
        <v/>
      </c>
      <c r="W20" s="13" t="str">
        <f t="shared" ca="1" si="16"/>
        <v/>
      </c>
      <c r="Y20" s="13" t="str">
        <f t="shared" ca="1" si="2"/>
        <v/>
      </c>
      <c r="Z20" s="13" t="str">
        <f t="shared" ca="1" si="3"/>
        <v/>
      </c>
      <c r="AA20" s="13" t="str">
        <f t="shared" ca="1" si="17"/>
        <v/>
      </c>
    </row>
    <row r="21" spans="1:27" x14ac:dyDescent="0.25">
      <c r="A21" s="1363">
        <v>0.17</v>
      </c>
      <c r="B21" s="13">
        <f t="shared" si="4"/>
        <v>3.0599999999999999E-2</v>
      </c>
      <c r="C21" s="1364">
        <f t="shared" si="5"/>
        <v>49.74</v>
      </c>
      <c r="D21" s="1364">
        <f ca="1">B21*'Ввод исходных данных'!$G$285+C21+IF('Ввод исходных данных'!$D$159=0,7,10)</f>
        <v>228.00207999999998</v>
      </c>
      <c r="E21" s="1431" t="str">
        <f t="shared" ca="1" si="6"/>
        <v/>
      </c>
      <c r="F21" s="1364" t="str">
        <f t="shared" ca="1" si="7"/>
        <v/>
      </c>
      <c r="G21" s="1364" t="str">
        <f t="shared" ca="1" si="8"/>
        <v/>
      </c>
      <c r="H21" s="1364" t="str">
        <f t="shared" ca="1" si="9"/>
        <v/>
      </c>
      <c r="I21" s="1364">
        <f t="shared" ca="1" si="10"/>
        <v>228.00207999999998</v>
      </c>
      <c r="J21" s="1364" t="str">
        <f t="shared" ca="1" si="11"/>
        <v/>
      </c>
      <c r="K21" s="1364" t="str">
        <f t="shared" ca="1" si="12"/>
        <v/>
      </c>
      <c r="L21" s="1364" t="str">
        <f t="shared" ca="1" si="13"/>
        <v/>
      </c>
      <c r="M21" s="1364" t="str">
        <f t="shared" ca="1" si="14"/>
        <v/>
      </c>
      <c r="N21" s="13">
        <f t="shared" ca="1" si="18"/>
        <v>2.3119801651363805E-2</v>
      </c>
      <c r="O21" s="13">
        <f t="shared" ca="1" si="19"/>
        <v>132.71947843137252</v>
      </c>
      <c r="P21" s="1366">
        <f t="shared" ca="1" si="19"/>
        <v>272.1163843137254</v>
      </c>
      <c r="Q21" s="13">
        <f t="shared" ca="1" si="20"/>
        <v>9.2479206605455225E-3</v>
      </c>
      <c r="R21" s="13">
        <f t="shared" ca="1" si="21"/>
        <v>53.087791372549013</v>
      </c>
      <c r="S21" s="1366">
        <f t="shared" ca="1" si="21"/>
        <v>108.84655372549018</v>
      </c>
      <c r="U21" s="13" t="str">
        <f t="shared" ca="1" si="0"/>
        <v/>
      </c>
      <c r="V21" s="13" t="str">
        <f t="shared" ca="1" si="1"/>
        <v/>
      </c>
      <c r="W21" s="13" t="str">
        <f t="shared" ca="1" si="16"/>
        <v/>
      </c>
      <c r="Y21" s="13" t="str">
        <f t="shared" ca="1" si="2"/>
        <v/>
      </c>
      <c r="Z21" s="13" t="str">
        <f t="shared" ca="1" si="3"/>
        <v/>
      </c>
      <c r="AA21" s="13" t="str">
        <f t="shared" ca="1" si="17"/>
        <v/>
      </c>
    </row>
    <row r="22" spans="1:27" x14ac:dyDescent="0.25">
      <c r="A22" s="1363">
        <v>0.18</v>
      </c>
      <c r="B22" s="13">
        <f t="shared" si="4"/>
        <v>3.1E-2</v>
      </c>
      <c r="C22" s="1364">
        <f t="shared" si="5"/>
        <v>50.41</v>
      </c>
      <c r="D22" s="1364">
        <f ca="1">B22*'Ввод исходных данных'!$G$285+C22+IF('Ввод исходных данных'!$D$159=0,7,10)</f>
        <v>230.91079999999997</v>
      </c>
      <c r="E22" s="1431" t="str">
        <f t="shared" ca="1" si="6"/>
        <v/>
      </c>
      <c r="F22" s="1364" t="str">
        <f t="shared" ca="1" si="7"/>
        <v/>
      </c>
      <c r="G22" s="1364" t="str">
        <f t="shared" ca="1" si="8"/>
        <v/>
      </c>
      <c r="H22" s="1364" t="str">
        <f t="shared" ca="1" si="9"/>
        <v/>
      </c>
      <c r="I22" s="1364">
        <f t="shared" ca="1" si="10"/>
        <v>230.91079999999997</v>
      </c>
      <c r="J22" s="1364" t="str">
        <f t="shared" ca="1" si="11"/>
        <v/>
      </c>
      <c r="K22" s="1364" t="str">
        <f t="shared" ca="1" si="12"/>
        <v/>
      </c>
      <c r="L22" s="1364" t="str">
        <f t="shared" ca="1" si="13"/>
        <v/>
      </c>
      <c r="M22" s="1364" t="str">
        <f t="shared" ca="1" si="14"/>
        <v/>
      </c>
      <c r="N22" s="13">
        <f t="shared" ca="1" si="18"/>
        <v>2.3119801651363805E-2</v>
      </c>
      <c r="O22" s="13">
        <f t="shared" ca="1" si="19"/>
        <v>132.71947843137252</v>
      </c>
      <c r="P22" s="1366">
        <f t="shared" ca="1" si="19"/>
        <v>272.1163843137254</v>
      </c>
      <c r="Q22" s="13">
        <f t="shared" ca="1" si="20"/>
        <v>9.2479206605455225E-3</v>
      </c>
      <c r="R22" s="13">
        <f t="shared" ca="1" si="21"/>
        <v>53.087791372549013</v>
      </c>
      <c r="S22" s="1366">
        <f t="shared" ca="1" si="21"/>
        <v>108.84655372549018</v>
      </c>
      <c r="U22" s="13" t="str">
        <f t="shared" ca="1" si="0"/>
        <v/>
      </c>
      <c r="V22" s="13" t="str">
        <f t="shared" ca="1" si="1"/>
        <v/>
      </c>
      <c r="W22" s="13" t="str">
        <f t="shared" ca="1" si="16"/>
        <v/>
      </c>
      <c r="Y22" s="13" t="str">
        <f t="shared" ca="1" si="2"/>
        <v/>
      </c>
      <c r="Z22" s="13" t="str">
        <f t="shared" ca="1" si="3"/>
        <v/>
      </c>
      <c r="AA22" s="13" t="str">
        <f t="shared" ca="1" si="17"/>
        <v/>
      </c>
    </row>
    <row r="23" spans="1:27" x14ac:dyDescent="0.25">
      <c r="A23" s="1363">
        <v>0.19</v>
      </c>
      <c r="B23" s="13">
        <f t="shared" si="4"/>
        <v>3.15E-2</v>
      </c>
      <c r="C23" s="1364">
        <f t="shared" si="5"/>
        <v>51.37</v>
      </c>
      <c r="D23" s="1364">
        <f ca="1">B23*'Ввод исходных данных'!$G$285+C23+IF('Ввод исходных данных'!$D$159=0,7,10)</f>
        <v>234.66919999999999</v>
      </c>
      <c r="E23" s="1431" t="str">
        <f t="shared" ca="1" si="6"/>
        <v/>
      </c>
      <c r="F23" s="1364" t="str">
        <f t="shared" ca="1" si="7"/>
        <v/>
      </c>
      <c r="G23" s="1364" t="str">
        <f t="shared" ca="1" si="8"/>
        <v/>
      </c>
      <c r="H23" s="1364" t="str">
        <f t="shared" ca="1" si="9"/>
        <v/>
      </c>
      <c r="I23" s="1364" t="str">
        <f t="shared" ca="1" si="10"/>
        <v/>
      </c>
      <c r="J23" s="1364">
        <f t="shared" ca="1" si="11"/>
        <v>234.66919999999999</v>
      </c>
      <c r="K23" s="1364" t="str">
        <f t="shared" ca="1" si="12"/>
        <v/>
      </c>
      <c r="L23" s="1364" t="str">
        <f t="shared" ca="1" si="13"/>
        <v/>
      </c>
      <c r="M23" s="1364" t="str">
        <f t="shared" ca="1" si="14"/>
        <v/>
      </c>
      <c r="N23" s="13">
        <f t="shared" ca="1" si="18"/>
        <v>2.3119801651363805E-2</v>
      </c>
      <c r="O23" s="13">
        <f t="shared" ca="1" si="19"/>
        <v>132.71947843137252</v>
      </c>
      <c r="P23" s="1366">
        <f t="shared" ca="1" si="19"/>
        <v>272.1163843137254</v>
      </c>
      <c r="Q23" s="13">
        <f t="shared" ca="1" si="20"/>
        <v>9.2479206605455225E-3</v>
      </c>
      <c r="R23" s="13">
        <f t="shared" ca="1" si="21"/>
        <v>53.087791372549013</v>
      </c>
      <c r="S23" s="1366">
        <f t="shared" ca="1" si="21"/>
        <v>108.84655372549018</v>
      </c>
      <c r="U23" s="13" t="str">
        <f t="shared" ca="1" si="0"/>
        <v/>
      </c>
      <c r="V23" s="13" t="str">
        <f t="shared" ca="1" si="1"/>
        <v/>
      </c>
      <c r="W23" s="13" t="str">
        <f t="shared" ca="1" si="16"/>
        <v/>
      </c>
      <c r="Y23" s="13" t="str">
        <f t="shared" ca="1" si="2"/>
        <v/>
      </c>
      <c r="Z23" s="13" t="str">
        <f t="shared" ca="1" si="3"/>
        <v/>
      </c>
      <c r="AA23" s="13" t="str">
        <f t="shared" ca="1" si="17"/>
        <v/>
      </c>
    </row>
    <row r="24" spans="1:27" x14ac:dyDescent="0.25">
      <c r="A24" s="1363">
        <v>0.2</v>
      </c>
      <c r="B24" s="13">
        <f t="shared" si="4"/>
        <v>3.1899999999999998E-2</v>
      </c>
      <c r="C24" s="1364">
        <f t="shared" si="5"/>
        <v>52.03</v>
      </c>
      <c r="D24" s="1364">
        <f ca="1">B24*'Ввод исходных данных'!$G$285+C24+IF('Ввод исходных данных'!$D$159=0,7,10)</f>
        <v>237.56791999999996</v>
      </c>
      <c r="E24" s="1431" t="str">
        <f t="shared" ca="1" si="6"/>
        <v/>
      </c>
      <c r="F24" s="1364" t="str">
        <f t="shared" ca="1" si="7"/>
        <v/>
      </c>
      <c r="G24" s="1364" t="str">
        <f t="shared" ca="1" si="8"/>
        <v/>
      </c>
      <c r="H24" s="1364" t="str">
        <f t="shared" ca="1" si="9"/>
        <v/>
      </c>
      <c r="I24" s="1364" t="str">
        <f t="shared" ca="1" si="10"/>
        <v/>
      </c>
      <c r="J24" s="1364">
        <f t="shared" ca="1" si="11"/>
        <v>237.56791999999996</v>
      </c>
      <c r="K24" s="1364" t="str">
        <f t="shared" ca="1" si="12"/>
        <v/>
      </c>
      <c r="L24" s="1364" t="str">
        <f t="shared" ca="1" si="13"/>
        <v/>
      </c>
      <c r="M24" s="1364" t="str">
        <f t="shared" ca="1" si="14"/>
        <v/>
      </c>
      <c r="N24" s="13">
        <f t="shared" ca="1" si="18"/>
        <v>2.3119801651363805E-2</v>
      </c>
      <c r="O24" s="13">
        <f t="shared" ca="1" si="19"/>
        <v>132.71947843137252</v>
      </c>
      <c r="P24" s="1366">
        <f t="shared" ca="1" si="19"/>
        <v>272.1163843137254</v>
      </c>
      <c r="Q24" s="13">
        <f t="shared" ca="1" si="20"/>
        <v>9.2479206605455225E-3</v>
      </c>
      <c r="R24" s="13">
        <f t="shared" ca="1" si="21"/>
        <v>53.087791372549013</v>
      </c>
      <c r="S24" s="1366">
        <f t="shared" ca="1" si="21"/>
        <v>108.84655372549018</v>
      </c>
      <c r="U24" s="13" t="str">
        <f t="shared" ca="1" si="0"/>
        <v/>
      </c>
      <c r="V24" s="13" t="str">
        <f t="shared" ca="1" si="1"/>
        <v/>
      </c>
      <c r="W24" s="13" t="str">
        <f t="shared" ca="1" si="16"/>
        <v/>
      </c>
      <c r="Y24" s="13" t="str">
        <f t="shared" ca="1" si="2"/>
        <v/>
      </c>
      <c r="Z24" s="13" t="str">
        <f t="shared" ca="1" si="3"/>
        <v/>
      </c>
      <c r="AA24" s="13" t="str">
        <f t="shared" ca="1" si="17"/>
        <v/>
      </c>
    </row>
    <row r="25" spans="1:27" x14ac:dyDescent="0.25">
      <c r="A25" s="1363">
        <v>0.21</v>
      </c>
      <c r="B25" s="13">
        <f t="shared" si="4"/>
        <v>3.2300000000000002E-2</v>
      </c>
      <c r="C25" s="1364">
        <f t="shared" si="5"/>
        <v>53.09</v>
      </c>
      <c r="D25" s="1364">
        <f ca="1">B25*'Ввод исходных данных'!$G$285+C25+IF('Ввод исходных данных'!$D$159=0,7,10)</f>
        <v>240.86663999999999</v>
      </c>
      <c r="E25" s="1431" t="str">
        <f t="shared" ca="1" si="6"/>
        <v/>
      </c>
      <c r="F25" s="1364" t="str">
        <f t="shared" ca="1" si="7"/>
        <v/>
      </c>
      <c r="G25" s="1364" t="str">
        <f t="shared" ca="1" si="8"/>
        <v/>
      </c>
      <c r="H25" s="1364" t="str">
        <f t="shared" ca="1" si="9"/>
        <v/>
      </c>
      <c r="I25" s="1364" t="str">
        <f t="shared" ca="1" si="10"/>
        <v/>
      </c>
      <c r="J25" s="1364">
        <f t="shared" ca="1" si="11"/>
        <v>240.86663999999999</v>
      </c>
      <c r="K25" s="1364" t="str">
        <f t="shared" ca="1" si="12"/>
        <v/>
      </c>
      <c r="L25" s="1364" t="str">
        <f t="shared" ca="1" si="13"/>
        <v/>
      </c>
      <c r="M25" s="1364" t="str">
        <f t="shared" ca="1" si="14"/>
        <v/>
      </c>
      <c r="N25" s="13">
        <f t="shared" ca="1" si="18"/>
        <v>2.3119801651363805E-2</v>
      </c>
      <c r="O25" s="13">
        <f t="shared" ca="1" si="19"/>
        <v>132.71947843137252</v>
      </c>
      <c r="P25" s="1366">
        <f t="shared" ca="1" si="19"/>
        <v>272.1163843137254</v>
      </c>
      <c r="Q25" s="13">
        <f t="shared" ca="1" si="20"/>
        <v>9.2479206605455225E-3</v>
      </c>
      <c r="R25" s="13">
        <f t="shared" ca="1" si="21"/>
        <v>53.087791372549013</v>
      </c>
      <c r="S25" s="1366">
        <f t="shared" ca="1" si="21"/>
        <v>108.84655372549018</v>
      </c>
      <c r="U25" s="13" t="str">
        <f t="shared" ca="1" si="0"/>
        <v/>
      </c>
      <c r="V25" s="13" t="str">
        <f t="shared" ca="1" si="1"/>
        <v/>
      </c>
      <c r="W25" s="13" t="str">
        <f t="shared" ca="1" si="16"/>
        <v/>
      </c>
      <c r="Y25" s="13" t="str">
        <f t="shared" ca="1" si="2"/>
        <v/>
      </c>
      <c r="Z25" s="13" t="str">
        <f t="shared" ca="1" si="3"/>
        <v/>
      </c>
      <c r="AA25" s="13" t="str">
        <f t="shared" ca="1" si="17"/>
        <v/>
      </c>
    </row>
    <row r="26" spans="1:27" x14ac:dyDescent="0.25">
      <c r="A26" s="1363">
        <v>0.22</v>
      </c>
      <c r="B26" s="13">
        <f t="shared" si="4"/>
        <v>3.2800000000000003E-2</v>
      </c>
      <c r="C26" s="1364">
        <f t="shared" si="5"/>
        <v>53.56</v>
      </c>
      <c r="D26" s="1364">
        <f ca="1">B26*'Ввод исходных данных'!$G$285+C26+IF('Ввод исходных данных'!$D$159=0,7,10)</f>
        <v>244.13504</v>
      </c>
      <c r="E26" s="1431" t="str">
        <f t="shared" ca="1" si="6"/>
        <v/>
      </c>
      <c r="F26" s="1364" t="str">
        <f t="shared" ca="1" si="7"/>
        <v/>
      </c>
      <c r="G26" s="1364" t="str">
        <f t="shared" ca="1" si="8"/>
        <v/>
      </c>
      <c r="H26" s="1364" t="str">
        <f t="shared" ca="1" si="9"/>
        <v/>
      </c>
      <c r="I26" s="1364" t="str">
        <f t="shared" ca="1" si="10"/>
        <v/>
      </c>
      <c r="J26" s="1364">
        <f t="shared" ca="1" si="11"/>
        <v>244.13504</v>
      </c>
      <c r="K26" s="1364" t="str">
        <f t="shared" ca="1" si="12"/>
        <v/>
      </c>
      <c r="L26" s="1364" t="str">
        <f t="shared" ca="1" si="13"/>
        <v/>
      </c>
      <c r="M26" s="1364" t="str">
        <f t="shared" ca="1" si="14"/>
        <v/>
      </c>
      <c r="N26" s="13">
        <f t="shared" ca="1" si="18"/>
        <v>2.3119801651363805E-2</v>
      </c>
      <c r="O26" s="13">
        <f t="shared" ca="1" si="19"/>
        <v>132.71947843137252</v>
      </c>
      <c r="P26" s="1366">
        <f t="shared" ca="1" si="19"/>
        <v>272.1163843137254</v>
      </c>
      <c r="Q26" s="13">
        <f t="shared" ca="1" si="20"/>
        <v>9.2479206605455225E-3</v>
      </c>
      <c r="R26" s="13">
        <f t="shared" ca="1" si="21"/>
        <v>53.087791372549013</v>
      </c>
      <c r="S26" s="1366">
        <f t="shared" ca="1" si="21"/>
        <v>108.84655372549018</v>
      </c>
      <c r="U26" s="13" t="str">
        <f t="shared" ca="1" si="0"/>
        <v/>
      </c>
      <c r="V26" s="13" t="str">
        <f t="shared" ca="1" si="1"/>
        <v/>
      </c>
      <c r="W26" s="13" t="str">
        <f t="shared" ca="1" si="16"/>
        <v/>
      </c>
      <c r="Y26" s="13" t="str">
        <f t="shared" ca="1" si="2"/>
        <v/>
      </c>
      <c r="Z26" s="13" t="str">
        <f t="shared" ca="1" si="3"/>
        <v/>
      </c>
      <c r="AA26" s="13" t="str">
        <f t="shared" ca="1" si="17"/>
        <v/>
      </c>
    </row>
    <row r="27" spans="1:27" x14ac:dyDescent="0.25">
      <c r="A27" s="1363">
        <v>0.23</v>
      </c>
      <c r="B27" s="13">
        <f t="shared" si="4"/>
        <v>3.32E-2</v>
      </c>
      <c r="C27" s="1364">
        <f t="shared" si="5"/>
        <v>54.36</v>
      </c>
      <c r="D27" s="1364">
        <f ca="1">B27*'Ввод исходных данных'!$G$285+C27+IF('Ввод исходных данных'!$D$159=0,7,10)</f>
        <v>247.17375999999996</v>
      </c>
      <c r="E27" s="1431" t="str">
        <f t="shared" ca="1" si="6"/>
        <v/>
      </c>
      <c r="F27" s="1364" t="str">
        <f t="shared" ca="1" si="7"/>
        <v/>
      </c>
      <c r="G27" s="1364" t="str">
        <f t="shared" ca="1" si="8"/>
        <v/>
      </c>
      <c r="H27" s="1364" t="str">
        <f t="shared" ca="1" si="9"/>
        <v/>
      </c>
      <c r="I27" s="1364" t="str">
        <f t="shared" ca="1" si="10"/>
        <v/>
      </c>
      <c r="J27" s="1364">
        <f t="shared" ca="1" si="11"/>
        <v>247.17375999999996</v>
      </c>
      <c r="K27" s="1364" t="str">
        <f t="shared" ca="1" si="12"/>
        <v/>
      </c>
      <c r="L27" s="1364" t="str">
        <f t="shared" ca="1" si="13"/>
        <v/>
      </c>
      <c r="M27" s="1364" t="str">
        <f t="shared" ca="1" si="14"/>
        <v/>
      </c>
      <c r="N27" s="13">
        <f t="shared" ca="1" si="18"/>
        <v>2.3119801651363805E-2</v>
      </c>
      <c r="O27" s="13">
        <f t="shared" ca="1" si="19"/>
        <v>132.71947843137252</v>
      </c>
      <c r="P27" s="1366">
        <f t="shared" ca="1" si="19"/>
        <v>272.1163843137254</v>
      </c>
      <c r="Q27" s="13">
        <f t="shared" ca="1" si="20"/>
        <v>9.2479206605455225E-3</v>
      </c>
      <c r="R27" s="13">
        <f t="shared" ca="1" si="21"/>
        <v>53.087791372549013</v>
      </c>
      <c r="S27" s="1366">
        <f t="shared" ca="1" si="21"/>
        <v>108.84655372549018</v>
      </c>
      <c r="U27" s="13" t="str">
        <f t="shared" ca="1" si="0"/>
        <v/>
      </c>
      <c r="V27" s="13" t="str">
        <f t="shared" ca="1" si="1"/>
        <v/>
      </c>
      <c r="W27" s="13" t="str">
        <f t="shared" ca="1" si="16"/>
        <v/>
      </c>
      <c r="Y27" s="13" t="str">
        <f t="shared" ca="1" si="2"/>
        <v/>
      </c>
      <c r="Z27" s="13" t="str">
        <f t="shared" ca="1" si="3"/>
        <v/>
      </c>
      <c r="AA27" s="13" t="str">
        <f t="shared" ca="1" si="17"/>
        <v/>
      </c>
    </row>
    <row r="28" spans="1:27" x14ac:dyDescent="0.25">
      <c r="A28" s="1363">
        <v>0.24</v>
      </c>
      <c r="B28" s="13">
        <f t="shared" si="4"/>
        <v>3.3599999999999998E-2</v>
      </c>
      <c r="C28" s="1364">
        <f t="shared" si="5"/>
        <v>55.19</v>
      </c>
      <c r="D28" s="1364">
        <f ca="1">B28*'Ввод исходных данных'!$G$285+C28+IF('Ввод исходных данных'!$D$159=0,7,10)</f>
        <v>250.24247999999997</v>
      </c>
      <c r="E28" s="1431" t="str">
        <f t="shared" ca="1" si="6"/>
        <v/>
      </c>
      <c r="F28" s="1364" t="str">
        <f t="shared" ca="1" si="7"/>
        <v/>
      </c>
      <c r="G28" s="1364" t="str">
        <f t="shared" ca="1" si="8"/>
        <v/>
      </c>
      <c r="H28" s="1364" t="str">
        <f t="shared" ca="1" si="9"/>
        <v/>
      </c>
      <c r="I28" s="1364" t="str">
        <f t="shared" ca="1" si="10"/>
        <v/>
      </c>
      <c r="J28" s="1364">
        <f t="shared" ca="1" si="11"/>
        <v>250.24247999999997</v>
      </c>
      <c r="K28" s="1364" t="str">
        <f t="shared" ca="1" si="12"/>
        <v/>
      </c>
      <c r="L28" s="1364" t="str">
        <f t="shared" ca="1" si="13"/>
        <v/>
      </c>
      <c r="M28" s="1364" t="str">
        <f t="shared" ca="1" si="14"/>
        <v/>
      </c>
      <c r="N28" s="13">
        <f t="shared" ca="1" si="18"/>
        <v>2.3119801651363805E-2</v>
      </c>
      <c r="O28" s="13">
        <f t="shared" ca="1" si="19"/>
        <v>132.71947843137252</v>
      </c>
      <c r="P28" s="1366">
        <f t="shared" ca="1" si="19"/>
        <v>272.1163843137254</v>
      </c>
      <c r="Q28" s="13">
        <f t="shared" ca="1" si="20"/>
        <v>9.2479206605455225E-3</v>
      </c>
      <c r="R28" s="13">
        <f t="shared" ca="1" si="21"/>
        <v>53.087791372549013</v>
      </c>
      <c r="S28" s="1366">
        <f t="shared" ca="1" si="21"/>
        <v>108.84655372549018</v>
      </c>
      <c r="U28" s="13" t="str">
        <f t="shared" ca="1" si="0"/>
        <v/>
      </c>
      <c r="V28" s="13" t="str">
        <f t="shared" ca="1" si="1"/>
        <v/>
      </c>
      <c r="W28" s="13" t="str">
        <f t="shared" ca="1" si="16"/>
        <v/>
      </c>
      <c r="Y28" s="13">
        <f t="shared" ca="1" si="2"/>
        <v>3.370164266109716E-2</v>
      </c>
      <c r="Z28" s="13" t="str">
        <f t="shared" ca="1" si="3"/>
        <v/>
      </c>
      <c r="AA28" s="13" t="str">
        <f t="shared" ca="1" si="17"/>
        <v/>
      </c>
    </row>
    <row r="29" spans="1:27" x14ac:dyDescent="0.25">
      <c r="A29" s="1363">
        <v>0.25</v>
      </c>
      <c r="B29" s="13">
        <f t="shared" si="4"/>
        <v>3.4000000000000002E-2</v>
      </c>
      <c r="C29" s="1364">
        <f t="shared" si="5"/>
        <v>56.04</v>
      </c>
      <c r="D29" s="1364">
        <f ca="1">B29*'Ввод исходных данных'!$G$285+C29+IF('Ввод исходных данных'!$D$159=0,7,10)</f>
        <v>253.33119999999997</v>
      </c>
      <c r="E29" s="1431" t="str">
        <f t="shared" ca="1" si="6"/>
        <v/>
      </c>
      <c r="F29" s="1364" t="str">
        <f t="shared" ca="1" si="7"/>
        <v/>
      </c>
      <c r="G29" s="1364" t="str">
        <f t="shared" ca="1" si="8"/>
        <v/>
      </c>
      <c r="H29" s="1364" t="str">
        <f t="shared" ca="1" si="9"/>
        <v/>
      </c>
      <c r="I29" s="1364" t="str">
        <f t="shared" ca="1" si="10"/>
        <v/>
      </c>
      <c r="J29" s="1364">
        <f t="shared" ca="1" si="11"/>
        <v>253.33119999999997</v>
      </c>
      <c r="K29" s="1364" t="str">
        <f t="shared" ca="1" si="12"/>
        <v/>
      </c>
      <c r="L29" s="1364" t="str">
        <f t="shared" ca="1" si="13"/>
        <v/>
      </c>
      <c r="M29" s="1364" t="str">
        <f t="shared" ca="1" si="14"/>
        <v/>
      </c>
      <c r="N29" s="13">
        <f t="shared" ca="1" si="18"/>
        <v>2.3119801651363805E-2</v>
      </c>
      <c r="O29" s="13">
        <f t="shared" ca="1" si="19"/>
        <v>132.71947843137252</v>
      </c>
      <c r="P29" s="1366">
        <f t="shared" ca="1" si="19"/>
        <v>272.1163843137254</v>
      </c>
      <c r="Q29" s="13">
        <f t="shared" ca="1" si="20"/>
        <v>9.2479206605455225E-3</v>
      </c>
      <c r="R29" s="13">
        <f t="shared" ca="1" si="21"/>
        <v>53.087791372549013</v>
      </c>
      <c r="S29" s="1366">
        <f t="shared" ca="1" si="21"/>
        <v>108.84655372549018</v>
      </c>
      <c r="U29" s="13" t="str">
        <f t="shared" ca="1" si="0"/>
        <v/>
      </c>
      <c r="V29" s="13" t="str">
        <f t="shared" ca="1" si="1"/>
        <v/>
      </c>
      <c r="W29" s="13" t="str">
        <f t="shared" ca="1" si="16"/>
        <v/>
      </c>
      <c r="Y29" s="13" t="str">
        <f t="shared" ca="1" si="2"/>
        <v/>
      </c>
      <c r="Z29" s="13" t="str">
        <f t="shared" ca="1" si="3"/>
        <v/>
      </c>
      <c r="AA29" s="13" t="str">
        <f t="shared" ca="1" si="17"/>
        <v/>
      </c>
    </row>
    <row r="30" spans="1:27" x14ac:dyDescent="0.25">
      <c r="A30" s="1363">
        <v>0.26</v>
      </c>
      <c r="B30" s="13">
        <f t="shared" si="4"/>
        <v>3.4299999999999997E-2</v>
      </c>
      <c r="C30" s="1364">
        <f t="shared" si="5"/>
        <v>57.15</v>
      </c>
      <c r="D30" s="1364">
        <f ca="1">B30*'Ввод исходных данных'!$G$285+C30+IF('Ввод исходных данных'!$D$159=0,7,10)</f>
        <v>256.12023999999997</v>
      </c>
      <c r="E30" s="1431" t="str">
        <f t="shared" ca="1" si="6"/>
        <v/>
      </c>
      <c r="F30" s="1364" t="str">
        <f t="shared" ca="1" si="7"/>
        <v/>
      </c>
      <c r="G30" s="1364" t="str">
        <f t="shared" ca="1" si="8"/>
        <v/>
      </c>
      <c r="H30" s="1364" t="str">
        <f t="shared" ca="1" si="9"/>
        <v/>
      </c>
      <c r="I30" s="1364" t="str">
        <f t="shared" ca="1" si="10"/>
        <v/>
      </c>
      <c r="J30" s="1364">
        <f t="shared" ca="1" si="11"/>
        <v>256.12023999999997</v>
      </c>
      <c r="K30" s="1364" t="str">
        <f t="shared" ca="1" si="12"/>
        <v/>
      </c>
      <c r="L30" s="1364" t="str">
        <f t="shared" ca="1" si="13"/>
        <v/>
      </c>
      <c r="M30" s="1364" t="str">
        <f t="shared" ca="1" si="14"/>
        <v/>
      </c>
      <c r="N30" s="13">
        <f t="shared" ca="1" si="18"/>
        <v>2.3119801651363805E-2</v>
      </c>
      <c r="O30" s="13">
        <f t="shared" ca="1" si="19"/>
        <v>132.71947843137252</v>
      </c>
      <c r="P30" s="1366">
        <f t="shared" ca="1" si="19"/>
        <v>272.1163843137254</v>
      </c>
      <c r="Q30" s="13">
        <f t="shared" ca="1" si="20"/>
        <v>9.2479206605455225E-3</v>
      </c>
      <c r="R30" s="13">
        <f t="shared" ca="1" si="21"/>
        <v>53.087791372549013</v>
      </c>
      <c r="S30" s="1366">
        <f t="shared" ca="1" si="21"/>
        <v>108.84655372549018</v>
      </c>
      <c r="U30" s="13" t="str">
        <f t="shared" ca="1" si="0"/>
        <v/>
      </c>
      <c r="V30" s="13" t="str">
        <f t="shared" ca="1" si="1"/>
        <v/>
      </c>
      <c r="W30" s="13" t="str">
        <f t="shared" ca="1" si="16"/>
        <v/>
      </c>
      <c r="Y30" s="13" t="str">
        <f t="shared" ca="1" si="2"/>
        <v/>
      </c>
      <c r="Z30" s="13" t="str">
        <f t="shared" ca="1" si="3"/>
        <v/>
      </c>
      <c r="AA30" s="13" t="str">
        <f t="shared" ca="1" si="17"/>
        <v/>
      </c>
    </row>
    <row r="31" spans="1:27" x14ac:dyDescent="0.25">
      <c r="A31" s="1363">
        <v>0.27</v>
      </c>
      <c r="B31" s="13">
        <f t="shared" si="4"/>
        <v>3.4599999999999999E-2</v>
      </c>
      <c r="C31" s="1364">
        <f t="shared" si="5"/>
        <v>57.82</v>
      </c>
      <c r="D31" s="1364">
        <f ca="1">B31*'Ввод исходных данных'!$G$285+C31+IF('Ввод исходных данных'!$D$159=0,7,10)</f>
        <v>258.46927999999997</v>
      </c>
      <c r="E31" s="1431" t="str">
        <f t="shared" ca="1" si="6"/>
        <v/>
      </c>
      <c r="F31" s="1364" t="str">
        <f t="shared" ca="1" si="7"/>
        <v/>
      </c>
      <c r="G31" s="1364" t="str">
        <f t="shared" ca="1" si="8"/>
        <v/>
      </c>
      <c r="H31" s="1364" t="str">
        <f t="shared" ca="1" si="9"/>
        <v/>
      </c>
      <c r="I31" s="1364" t="str">
        <f t="shared" ca="1" si="10"/>
        <v/>
      </c>
      <c r="J31" s="1364">
        <f t="shared" ca="1" si="11"/>
        <v>258.46927999999997</v>
      </c>
      <c r="K31" s="1364" t="str">
        <f t="shared" ca="1" si="12"/>
        <v/>
      </c>
      <c r="L31" s="1364" t="str">
        <f t="shared" ca="1" si="13"/>
        <v/>
      </c>
      <c r="M31" s="1364" t="str">
        <f t="shared" ca="1" si="14"/>
        <v/>
      </c>
      <c r="N31" s="13">
        <f t="shared" ca="1" si="18"/>
        <v>2.3119801651363805E-2</v>
      </c>
      <c r="O31" s="13">
        <f t="shared" ca="1" si="19"/>
        <v>132.71947843137252</v>
      </c>
      <c r="P31" s="1366">
        <f t="shared" ca="1" si="19"/>
        <v>272.1163843137254</v>
      </c>
      <c r="Q31" s="13">
        <f t="shared" ca="1" si="20"/>
        <v>9.2479206605455225E-3</v>
      </c>
      <c r="R31" s="13">
        <f t="shared" ca="1" si="21"/>
        <v>53.087791372549013</v>
      </c>
      <c r="S31" s="1366">
        <f t="shared" ca="1" si="21"/>
        <v>108.84655372549018</v>
      </c>
      <c r="U31" s="13" t="str">
        <f t="shared" ca="1" si="0"/>
        <v/>
      </c>
      <c r="V31" s="13" t="str">
        <f t="shared" ca="1" si="1"/>
        <v/>
      </c>
      <c r="W31" s="13" t="str">
        <f t="shared" ca="1" si="16"/>
        <v/>
      </c>
      <c r="Y31" s="13" t="str">
        <f t="shared" ca="1" si="2"/>
        <v/>
      </c>
      <c r="Z31" s="13" t="str">
        <f t="shared" ca="1" si="3"/>
        <v/>
      </c>
      <c r="AA31" s="13" t="str">
        <f t="shared" ca="1" si="17"/>
        <v/>
      </c>
    </row>
    <row r="32" spans="1:27" x14ac:dyDescent="0.25">
      <c r="A32" s="1363">
        <v>0.28000000000000003</v>
      </c>
      <c r="B32" s="13">
        <f t="shared" si="4"/>
        <v>3.5000000000000003E-2</v>
      </c>
      <c r="C32" s="1364">
        <f t="shared" si="5"/>
        <v>58.72</v>
      </c>
      <c r="D32" s="1364">
        <f ca="1">B32*'Ввод исходных данных'!$G$285+C32+IF('Ввод исходных данных'!$D$159=0,7,10)</f>
        <v>261.608</v>
      </c>
      <c r="E32" s="1431" t="str">
        <f t="shared" ca="1" si="6"/>
        <v/>
      </c>
      <c r="F32" s="1364" t="str">
        <f t="shared" ca="1" si="7"/>
        <v/>
      </c>
      <c r="G32" s="1364" t="str">
        <f t="shared" ca="1" si="8"/>
        <v/>
      </c>
      <c r="H32" s="1364" t="str">
        <f t="shared" ca="1" si="9"/>
        <v/>
      </c>
      <c r="I32" s="1364" t="str">
        <f t="shared" ca="1" si="10"/>
        <v/>
      </c>
      <c r="J32" s="1364">
        <f t="shared" ca="1" si="11"/>
        <v>261.608</v>
      </c>
      <c r="K32" s="1364" t="str">
        <f t="shared" ca="1" si="12"/>
        <v/>
      </c>
      <c r="L32" s="1364" t="str">
        <f t="shared" ca="1" si="13"/>
        <v/>
      </c>
      <c r="M32" s="1364" t="str">
        <f t="shared" ca="1" si="14"/>
        <v/>
      </c>
      <c r="N32" s="13">
        <f t="shared" ca="1" si="18"/>
        <v>2.3119801651363805E-2</v>
      </c>
      <c r="O32" s="13">
        <f t="shared" ca="1" si="19"/>
        <v>132.71947843137252</v>
      </c>
      <c r="P32" s="1366">
        <f t="shared" ca="1" si="19"/>
        <v>272.1163843137254</v>
      </c>
      <c r="Q32" s="13">
        <f t="shared" ca="1" si="20"/>
        <v>9.2479206605455225E-3</v>
      </c>
      <c r="R32" s="13">
        <f t="shared" ca="1" si="21"/>
        <v>53.087791372549013</v>
      </c>
      <c r="S32" s="1366">
        <f t="shared" ca="1" si="21"/>
        <v>108.84655372549018</v>
      </c>
      <c r="U32" s="13" t="str">
        <f t="shared" ca="1" si="0"/>
        <v/>
      </c>
      <c r="V32" s="13" t="str">
        <f t="shared" ca="1" si="1"/>
        <v/>
      </c>
      <c r="W32" s="13" t="str">
        <f t="shared" ca="1" si="16"/>
        <v/>
      </c>
      <c r="Y32" s="13" t="str">
        <f t="shared" ca="1" si="2"/>
        <v/>
      </c>
      <c r="Z32" s="13" t="str">
        <f t="shared" ca="1" si="3"/>
        <v/>
      </c>
      <c r="AA32" s="13" t="str">
        <f t="shared" ca="1" si="17"/>
        <v/>
      </c>
    </row>
    <row r="33" spans="1:27" x14ac:dyDescent="0.25">
      <c r="A33" s="1363">
        <v>0.28999999999999998</v>
      </c>
      <c r="B33" s="13">
        <f t="shared" si="4"/>
        <v>3.5299999999999998E-2</v>
      </c>
      <c r="C33" s="1364">
        <f t="shared" si="5"/>
        <v>59.56</v>
      </c>
      <c r="D33" s="1364">
        <f ca="1">B33*'Ввод исходных данных'!$G$285+C33+IF('Ввод исходных данных'!$D$159=0,7,10)</f>
        <v>264.12703999999997</v>
      </c>
      <c r="E33" s="1431" t="str">
        <f t="shared" ca="1" si="6"/>
        <v/>
      </c>
      <c r="F33" s="1364" t="str">
        <f t="shared" ca="1" si="7"/>
        <v/>
      </c>
      <c r="G33" s="1364" t="str">
        <f t="shared" ca="1" si="8"/>
        <v/>
      </c>
      <c r="H33" s="1364" t="str">
        <f t="shared" ca="1" si="9"/>
        <v/>
      </c>
      <c r="I33" s="1364" t="str">
        <f t="shared" ca="1" si="10"/>
        <v/>
      </c>
      <c r="J33" s="1364">
        <f t="shared" ca="1" si="11"/>
        <v>264.12703999999997</v>
      </c>
      <c r="K33" s="1364" t="str">
        <f t="shared" ca="1" si="12"/>
        <v/>
      </c>
      <c r="L33" s="1364" t="str">
        <f t="shared" ca="1" si="13"/>
        <v/>
      </c>
      <c r="M33" s="1364" t="str">
        <f t="shared" ca="1" si="14"/>
        <v/>
      </c>
      <c r="N33" s="13">
        <f t="shared" ca="1" si="18"/>
        <v>2.3119801651363805E-2</v>
      </c>
      <c r="O33" s="13">
        <f t="shared" ca="1" si="19"/>
        <v>132.71947843137252</v>
      </c>
      <c r="P33" s="1366">
        <f t="shared" ca="1" si="19"/>
        <v>272.1163843137254</v>
      </c>
      <c r="Q33" s="13">
        <f t="shared" ca="1" si="20"/>
        <v>9.2479206605455225E-3</v>
      </c>
      <c r="R33" s="13">
        <f t="shared" ca="1" si="21"/>
        <v>53.087791372549013</v>
      </c>
      <c r="S33" s="1366">
        <f t="shared" ca="1" si="21"/>
        <v>108.84655372549018</v>
      </c>
      <c r="U33" s="13" t="str">
        <f t="shared" ca="1" si="0"/>
        <v/>
      </c>
      <c r="V33" s="13" t="str">
        <f t="shared" ca="1" si="1"/>
        <v/>
      </c>
      <c r="W33" s="13" t="str">
        <f t="shared" ca="1" si="16"/>
        <v/>
      </c>
      <c r="Y33" s="13" t="str">
        <f t="shared" ca="1" si="2"/>
        <v/>
      </c>
      <c r="Z33" s="13" t="str">
        <f t="shared" ca="1" si="3"/>
        <v/>
      </c>
      <c r="AA33" s="13" t="str">
        <f t="shared" ca="1" si="17"/>
        <v/>
      </c>
    </row>
    <row r="34" spans="1:27" x14ac:dyDescent="0.25">
      <c r="A34" s="1363">
        <v>0.3</v>
      </c>
      <c r="B34" s="13">
        <f t="shared" si="4"/>
        <v>3.56E-2</v>
      </c>
      <c r="C34" s="1364">
        <f t="shared" si="5"/>
        <v>60.39</v>
      </c>
      <c r="D34" s="1364">
        <f ca="1">B34*'Ввод исходных данных'!$G$285+C34+IF('Ввод исходных данных'!$D$159=0,7,10)</f>
        <v>266.63607999999999</v>
      </c>
      <c r="E34" s="1431" t="str">
        <f t="shared" ca="1" si="6"/>
        <v/>
      </c>
      <c r="F34" s="1364" t="str">
        <f t="shared" ca="1" si="7"/>
        <v/>
      </c>
      <c r="G34" s="1364" t="str">
        <f t="shared" ca="1" si="8"/>
        <v/>
      </c>
      <c r="H34" s="1364" t="str">
        <f t="shared" ca="1" si="9"/>
        <v/>
      </c>
      <c r="I34" s="1364" t="str">
        <f t="shared" ca="1" si="10"/>
        <v/>
      </c>
      <c r="J34" s="1364">
        <f t="shared" ca="1" si="11"/>
        <v>266.63607999999999</v>
      </c>
      <c r="K34" s="1364" t="str">
        <f t="shared" ca="1" si="12"/>
        <v/>
      </c>
      <c r="L34" s="1364" t="str">
        <f t="shared" ca="1" si="13"/>
        <v/>
      </c>
      <c r="M34" s="1364" t="str">
        <f t="shared" ca="1" si="14"/>
        <v/>
      </c>
      <c r="N34" s="13">
        <f t="shared" ca="1" si="18"/>
        <v>2.3119801651363805E-2</v>
      </c>
      <c r="O34" s="13">
        <f t="shared" ca="1" si="19"/>
        <v>132.71947843137252</v>
      </c>
      <c r="P34" s="1366">
        <f t="shared" ca="1" si="19"/>
        <v>272.1163843137254</v>
      </c>
      <c r="Q34" s="13">
        <f t="shared" ca="1" si="20"/>
        <v>9.2479206605455225E-3</v>
      </c>
      <c r="R34" s="13">
        <f t="shared" ca="1" si="21"/>
        <v>53.087791372549013</v>
      </c>
      <c r="S34" s="1366">
        <f t="shared" ca="1" si="21"/>
        <v>108.84655372549018</v>
      </c>
      <c r="U34" s="13" t="str">
        <f t="shared" ca="1" si="0"/>
        <v/>
      </c>
      <c r="V34" s="13" t="str">
        <f t="shared" ca="1" si="1"/>
        <v/>
      </c>
      <c r="W34" s="13" t="str">
        <f t="shared" ca="1" si="16"/>
        <v/>
      </c>
      <c r="Y34" s="13" t="str">
        <f t="shared" ca="1" si="2"/>
        <v/>
      </c>
      <c r="Z34" s="13" t="str">
        <f t="shared" ca="1" si="3"/>
        <v/>
      </c>
      <c r="AA34" s="13" t="str">
        <f t="shared" ca="1" si="17"/>
        <v/>
      </c>
    </row>
    <row r="35" spans="1:27" x14ac:dyDescent="0.25">
      <c r="A35" s="1363">
        <v>0.31</v>
      </c>
      <c r="B35" s="13">
        <f t="shared" si="4"/>
        <v>3.5900000000000001E-2</v>
      </c>
      <c r="C35" s="1364">
        <f t="shared" si="5"/>
        <v>61.46</v>
      </c>
      <c r="D35" s="1364">
        <f ca="1">B35*'Ввод исходных данных'!$G$285+C35+IF('Ввод исходных данных'!$D$159=0,7,10)</f>
        <v>269.38511999999997</v>
      </c>
      <c r="E35" s="1431" t="str">
        <f t="shared" ca="1" si="6"/>
        <v/>
      </c>
      <c r="F35" s="1364" t="str">
        <f t="shared" ca="1" si="7"/>
        <v/>
      </c>
      <c r="G35" s="1364" t="str">
        <f t="shared" ca="1" si="8"/>
        <v/>
      </c>
      <c r="H35" s="1364" t="str">
        <f t="shared" ca="1" si="9"/>
        <v/>
      </c>
      <c r="I35" s="1364" t="str">
        <f t="shared" ca="1" si="10"/>
        <v/>
      </c>
      <c r="J35" s="1364">
        <f t="shared" ca="1" si="11"/>
        <v>269.38511999999997</v>
      </c>
      <c r="K35" s="1364" t="str">
        <f t="shared" ca="1" si="12"/>
        <v/>
      </c>
      <c r="L35" s="1364" t="str">
        <f t="shared" ca="1" si="13"/>
        <v/>
      </c>
      <c r="M35" s="1364" t="str">
        <f t="shared" ca="1" si="14"/>
        <v/>
      </c>
      <c r="N35" s="13">
        <f t="shared" ca="1" si="18"/>
        <v>2.3119801651363805E-2</v>
      </c>
      <c r="O35" s="13">
        <f t="shared" ca="1" si="19"/>
        <v>132.71947843137252</v>
      </c>
      <c r="P35" s="1366">
        <f t="shared" ca="1" si="19"/>
        <v>272.1163843137254</v>
      </c>
      <c r="Q35" s="13">
        <f t="shared" ca="1" si="20"/>
        <v>9.2479206605455225E-3</v>
      </c>
      <c r="R35" s="13">
        <f t="shared" ca="1" si="21"/>
        <v>53.087791372549013</v>
      </c>
      <c r="S35" s="1366">
        <f t="shared" ca="1" si="21"/>
        <v>108.84655372549018</v>
      </c>
      <c r="U35" s="13" t="str">
        <f t="shared" ca="1" si="0"/>
        <v/>
      </c>
      <c r="V35" s="13" t="str">
        <f t="shared" ca="1" si="1"/>
        <v/>
      </c>
      <c r="W35" s="13" t="str">
        <f t="shared" ca="1" si="16"/>
        <v/>
      </c>
      <c r="Y35" s="13" t="str">
        <f t="shared" ca="1" si="2"/>
        <v/>
      </c>
      <c r="Z35" s="13" t="str">
        <f t="shared" ca="1" si="3"/>
        <v/>
      </c>
      <c r="AA35" s="13" t="str">
        <f t="shared" ca="1" si="17"/>
        <v/>
      </c>
    </row>
    <row r="36" spans="1:27" x14ac:dyDescent="0.25">
      <c r="A36" s="1363">
        <v>0.32</v>
      </c>
      <c r="B36" s="13">
        <f t="shared" si="4"/>
        <v>3.6200000000000003E-2</v>
      </c>
      <c r="C36" s="1364">
        <f t="shared" si="5"/>
        <v>62</v>
      </c>
      <c r="D36" s="1364">
        <f ca="1">B36*'Ввод исходных данных'!$G$285+C36+IF('Ввод исходных данных'!$D$159=0,7,10)</f>
        <v>271.60415999999998</v>
      </c>
      <c r="E36" s="1431" t="str">
        <f t="shared" ca="1" si="6"/>
        <v/>
      </c>
      <c r="F36" s="1364" t="str">
        <f t="shared" ca="1" si="7"/>
        <v/>
      </c>
      <c r="G36" s="1364" t="str">
        <f t="shared" ca="1" si="8"/>
        <v/>
      </c>
      <c r="H36" s="1364" t="str">
        <f t="shared" ca="1" si="9"/>
        <v/>
      </c>
      <c r="I36" s="1364" t="str">
        <f t="shared" ca="1" si="10"/>
        <v/>
      </c>
      <c r="J36" s="1364">
        <f t="shared" ca="1" si="11"/>
        <v>271.60415999999998</v>
      </c>
      <c r="K36" s="1364" t="str">
        <f t="shared" ca="1" si="12"/>
        <v/>
      </c>
      <c r="L36" s="1364" t="str">
        <f t="shared" ca="1" si="13"/>
        <v/>
      </c>
      <c r="M36" s="1364" t="str">
        <f t="shared" ca="1" si="14"/>
        <v/>
      </c>
      <c r="N36" s="13">
        <f t="shared" ca="1" si="18"/>
        <v>2.3119801651363805E-2</v>
      </c>
      <c r="O36" s="13">
        <f t="shared" ca="1" si="19"/>
        <v>132.71947843137252</v>
      </c>
      <c r="P36" s="1366">
        <f t="shared" ca="1" si="19"/>
        <v>272.1163843137254</v>
      </c>
      <c r="Q36" s="13">
        <f t="shared" ca="1" si="20"/>
        <v>9.2479206605455225E-3</v>
      </c>
      <c r="R36" s="13">
        <f t="shared" ca="1" si="21"/>
        <v>53.087791372549013</v>
      </c>
      <c r="S36" s="1366">
        <f t="shared" ca="1" si="21"/>
        <v>108.84655372549018</v>
      </c>
      <c r="U36" s="13" t="str">
        <f t="shared" ca="1" si="0"/>
        <v/>
      </c>
      <c r="V36" s="13" t="str">
        <f t="shared" ca="1" si="1"/>
        <v/>
      </c>
      <c r="W36" s="13" t="str">
        <f t="shared" ca="1" si="16"/>
        <v/>
      </c>
      <c r="Y36" s="13" t="str">
        <f t="shared" ca="1" si="2"/>
        <v/>
      </c>
      <c r="Z36" s="13" t="str">
        <f t="shared" ca="1" si="3"/>
        <v/>
      </c>
      <c r="AA36" s="13" t="str">
        <f t="shared" ca="1" si="17"/>
        <v/>
      </c>
    </row>
    <row r="37" spans="1:27" x14ac:dyDescent="0.25">
      <c r="A37" s="1363">
        <v>0.33</v>
      </c>
      <c r="B37" s="13">
        <f t="shared" si="4"/>
        <v>3.6600000000000001E-2</v>
      </c>
      <c r="C37" s="1364">
        <f t="shared" si="5"/>
        <v>62.74</v>
      </c>
      <c r="D37" s="1364">
        <f ca="1">B37*'Ввод исходных данных'!$G$285+C37+IF('Ввод исходных данных'!$D$159=0,7,10)</f>
        <v>274.58287999999999</v>
      </c>
      <c r="E37" s="1431" t="str">
        <f t="shared" ca="1" si="6"/>
        <v/>
      </c>
      <c r="F37" s="1364" t="str">
        <f t="shared" ca="1" si="7"/>
        <v/>
      </c>
      <c r="G37" s="1364" t="str">
        <f t="shared" ca="1" si="8"/>
        <v/>
      </c>
      <c r="H37" s="1364" t="str">
        <f t="shared" ca="1" si="9"/>
        <v/>
      </c>
      <c r="I37" s="1364" t="str">
        <f t="shared" ca="1" si="10"/>
        <v/>
      </c>
      <c r="J37" s="1364" t="str">
        <f t="shared" ca="1" si="11"/>
        <v/>
      </c>
      <c r="K37" s="1364">
        <f t="shared" ca="1" si="12"/>
        <v>274.58287999999999</v>
      </c>
      <c r="L37" s="1364" t="str">
        <f t="shared" ca="1" si="13"/>
        <v/>
      </c>
      <c r="M37" s="1364" t="str">
        <f t="shared" ca="1" si="14"/>
        <v/>
      </c>
      <c r="N37" s="13">
        <f t="shared" ca="1" si="18"/>
        <v>2.3119801651363805E-2</v>
      </c>
      <c r="O37" s="13">
        <f t="shared" ca="1" si="19"/>
        <v>132.71947843137252</v>
      </c>
      <c r="P37" s="1366">
        <f t="shared" ca="1" si="19"/>
        <v>272.1163843137254</v>
      </c>
      <c r="Q37" s="13">
        <f t="shared" ca="1" si="20"/>
        <v>9.2479206605455225E-3</v>
      </c>
      <c r="R37" s="13">
        <f t="shared" ca="1" si="21"/>
        <v>53.087791372549013</v>
      </c>
      <c r="S37" s="1366">
        <f t="shared" ca="1" si="21"/>
        <v>108.84655372549018</v>
      </c>
      <c r="U37" s="13" t="str">
        <f t="shared" ref="U37:U68" ca="1" si="22">IF(AND($U$3&gt;=B37,$U$3&lt;B38),$U$3,"")</f>
        <v/>
      </c>
      <c r="V37" s="13" t="str">
        <f t="shared" ref="V37:V68" ca="1"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3">
        <v>0.34</v>
      </c>
      <c r="B38" s="13">
        <f t="shared" si="4"/>
        <v>3.6799999999999999E-2</v>
      </c>
      <c r="C38" s="1364">
        <f t="shared" si="5"/>
        <v>63.41</v>
      </c>
      <c r="D38" s="1364">
        <f ca="1">B38*'Ввод исходных данных'!$G$285+C38+IF('Ввод исходных данных'!$D$159=0,7,10)</f>
        <v>276.37223999999998</v>
      </c>
      <c r="E38" s="1431" t="str">
        <f t="shared" ca="1" si="6"/>
        <v/>
      </c>
      <c r="F38" s="1364" t="str">
        <f t="shared" ca="1" si="7"/>
        <v/>
      </c>
      <c r="G38" s="1364" t="str">
        <f t="shared" ca="1" si="8"/>
        <v/>
      </c>
      <c r="H38" s="1364" t="str">
        <f t="shared" ca="1" si="9"/>
        <v/>
      </c>
      <c r="I38" s="1364" t="str">
        <f t="shared" ca="1" si="10"/>
        <v/>
      </c>
      <c r="J38" s="1364" t="str">
        <f t="shared" ca="1" si="11"/>
        <v/>
      </c>
      <c r="K38" s="1364">
        <f t="shared" ca="1" si="12"/>
        <v>276.37223999999998</v>
      </c>
      <c r="L38" s="1364" t="str">
        <f t="shared" ca="1" si="13"/>
        <v/>
      </c>
      <c r="M38" s="1364" t="str">
        <f t="shared" ca="1" si="14"/>
        <v/>
      </c>
      <c r="N38" s="13">
        <f t="shared" ca="1" si="18"/>
        <v>2.3119801651363805E-2</v>
      </c>
      <c r="O38" s="13">
        <f t="shared" ca="1" si="19"/>
        <v>132.71947843137252</v>
      </c>
      <c r="P38" s="1366">
        <f t="shared" ca="1" si="19"/>
        <v>272.1163843137254</v>
      </c>
      <c r="Q38" s="13">
        <f t="shared" ca="1" si="20"/>
        <v>9.2479206605455225E-3</v>
      </c>
      <c r="R38" s="13">
        <f t="shared" ca="1" si="21"/>
        <v>53.087791372549013</v>
      </c>
      <c r="S38" s="1366">
        <f t="shared" ca="1" si="21"/>
        <v>108.84655372549018</v>
      </c>
      <c r="U38" s="13" t="str">
        <f t="shared" ca="1" si="22"/>
        <v/>
      </c>
      <c r="V38" s="13" t="str">
        <f t="shared" ca="1" si="23"/>
        <v/>
      </c>
      <c r="W38" s="13" t="str">
        <f t="shared" ca="1" si="16"/>
        <v/>
      </c>
      <c r="Y38" s="13" t="str">
        <f t="shared" ca="1" si="24"/>
        <v/>
      </c>
      <c r="Z38" s="13" t="str">
        <f t="shared" ca="1" si="25"/>
        <v/>
      </c>
      <c r="AA38" s="13" t="str">
        <f t="shared" ca="1" si="17"/>
        <v/>
      </c>
    </row>
    <row r="39" spans="1:27" x14ac:dyDescent="0.25">
      <c r="A39" s="1363">
        <v>0.35</v>
      </c>
      <c r="B39" s="13">
        <f t="shared" si="4"/>
        <v>3.7100000000000001E-2</v>
      </c>
      <c r="C39" s="1364">
        <f t="shared" si="5"/>
        <v>64.209999999999994</v>
      </c>
      <c r="D39" s="1364">
        <f ca="1">B39*'Ввод исходных данных'!$G$285+C39+IF('Ввод исходных данных'!$D$159=0,7,10)</f>
        <v>278.85127999999997</v>
      </c>
      <c r="E39" s="1431" t="str">
        <f t="shared" ca="1" si="6"/>
        <v/>
      </c>
      <c r="F39" s="1364" t="str">
        <f t="shared" ca="1" si="7"/>
        <v/>
      </c>
      <c r="G39" s="1364" t="str">
        <f t="shared" ca="1" si="8"/>
        <v/>
      </c>
      <c r="H39" s="1364" t="str">
        <f t="shared" ca="1" si="9"/>
        <v/>
      </c>
      <c r="I39" s="1364" t="str">
        <f t="shared" ca="1" si="10"/>
        <v/>
      </c>
      <c r="J39" s="1364" t="str">
        <f t="shared" ca="1" si="11"/>
        <v/>
      </c>
      <c r="K39" s="1364">
        <f t="shared" ca="1" si="12"/>
        <v>278.85127999999997</v>
      </c>
      <c r="L39" s="1364" t="str">
        <f t="shared" ca="1" si="13"/>
        <v/>
      </c>
      <c r="M39" s="1364" t="str">
        <f t="shared" ca="1" si="14"/>
        <v/>
      </c>
      <c r="N39" s="13">
        <f t="shared" ca="1" si="18"/>
        <v>2.3119801651363805E-2</v>
      </c>
      <c r="O39" s="13">
        <f t="shared" ca="1" si="19"/>
        <v>132.71947843137252</v>
      </c>
      <c r="P39" s="1366">
        <f t="shared" ca="1" si="19"/>
        <v>272.1163843137254</v>
      </c>
      <c r="Q39" s="13">
        <f t="shared" ca="1" si="20"/>
        <v>9.2479206605455225E-3</v>
      </c>
      <c r="R39" s="13">
        <f t="shared" ca="1" si="21"/>
        <v>53.087791372549013</v>
      </c>
      <c r="S39" s="1366">
        <f t="shared" ca="1" si="21"/>
        <v>108.84655372549018</v>
      </c>
      <c r="U39" s="13" t="str">
        <f t="shared" ca="1" si="22"/>
        <v/>
      </c>
      <c r="V39" s="13" t="str">
        <f t="shared" ca="1" si="23"/>
        <v/>
      </c>
      <c r="W39" s="13" t="str">
        <f t="shared" ca="1" si="16"/>
        <v/>
      </c>
      <c r="Y39" s="13" t="str">
        <f t="shared" ca="1" si="24"/>
        <v/>
      </c>
      <c r="Z39" s="13" t="str">
        <f t="shared" ca="1" si="25"/>
        <v/>
      </c>
      <c r="AA39" s="13" t="str">
        <f t="shared" ca="1" si="17"/>
        <v/>
      </c>
    </row>
    <row r="40" spans="1:27" x14ac:dyDescent="0.25">
      <c r="A40" s="1363">
        <v>0.36</v>
      </c>
      <c r="B40" s="13">
        <f t="shared" si="4"/>
        <v>3.7400000000000003E-2</v>
      </c>
      <c r="C40" s="1364">
        <f t="shared" si="5"/>
        <v>64.930000000000007</v>
      </c>
      <c r="D40" s="1364">
        <f ca="1">B40*'Ввод исходных данных'!$G$285+C40+IF('Ввод исходных данных'!$D$159=0,7,10)</f>
        <v>281.25031999999999</v>
      </c>
      <c r="E40" s="1431" t="str">
        <f t="shared" ca="1" si="6"/>
        <v/>
      </c>
      <c r="F40" s="1364" t="str">
        <f t="shared" ca="1" si="7"/>
        <v/>
      </c>
      <c r="G40" s="1364" t="str">
        <f t="shared" ca="1" si="8"/>
        <v/>
      </c>
      <c r="H40" s="1364" t="str">
        <f t="shared" ca="1" si="9"/>
        <v/>
      </c>
      <c r="I40" s="1364" t="str">
        <f t="shared" ca="1" si="10"/>
        <v/>
      </c>
      <c r="J40" s="1364" t="str">
        <f t="shared" ca="1" si="11"/>
        <v/>
      </c>
      <c r="K40" s="1364">
        <f t="shared" ca="1" si="12"/>
        <v>281.25031999999999</v>
      </c>
      <c r="L40" s="1364" t="str">
        <f t="shared" ca="1" si="13"/>
        <v/>
      </c>
      <c r="M40" s="1364" t="str">
        <f t="shared" ca="1" si="14"/>
        <v/>
      </c>
      <c r="N40" s="13">
        <f t="shared" ca="1" si="18"/>
        <v>2.3119801651363805E-2</v>
      </c>
      <c r="O40" s="13">
        <f t="shared" ca="1" si="19"/>
        <v>132.71947843137252</v>
      </c>
      <c r="P40" s="1366">
        <f t="shared" ca="1" si="19"/>
        <v>272.1163843137254</v>
      </c>
      <c r="Q40" s="13">
        <f t="shared" ca="1" si="20"/>
        <v>9.2479206605455225E-3</v>
      </c>
      <c r="R40" s="13">
        <f t="shared" ca="1" si="21"/>
        <v>53.087791372549013</v>
      </c>
      <c r="S40" s="1366">
        <f t="shared" ca="1" si="21"/>
        <v>108.84655372549018</v>
      </c>
      <c r="U40" s="13" t="str">
        <f t="shared" ca="1" si="22"/>
        <v/>
      </c>
      <c r="V40" s="13" t="str">
        <f t="shared" ca="1" si="23"/>
        <v/>
      </c>
      <c r="W40" s="13" t="str">
        <f t="shared" ca="1" si="16"/>
        <v/>
      </c>
      <c r="Y40" s="13" t="str">
        <f t="shared" ca="1" si="24"/>
        <v/>
      </c>
      <c r="Z40" s="13" t="str">
        <f t="shared" ca="1" si="25"/>
        <v/>
      </c>
      <c r="AA40" s="13" t="str">
        <f t="shared" ca="1" si="17"/>
        <v/>
      </c>
    </row>
    <row r="41" spans="1:27" x14ac:dyDescent="0.25">
      <c r="A41" s="1363">
        <v>0.37</v>
      </c>
      <c r="B41" s="13">
        <f t="shared" si="4"/>
        <v>3.7600000000000001E-2</v>
      </c>
      <c r="C41" s="1364">
        <f t="shared" si="5"/>
        <v>65.72</v>
      </c>
      <c r="D41" s="1364">
        <f ca="1">B41*'Ввод исходных данных'!$G$285+C41+IF('Ввод исходных данных'!$D$159=0,7,10)</f>
        <v>283.15967999999998</v>
      </c>
      <c r="E41" s="1431" t="str">
        <f t="shared" ca="1" si="6"/>
        <v/>
      </c>
      <c r="F41" s="1364" t="str">
        <f t="shared" ca="1" si="7"/>
        <v/>
      </c>
      <c r="G41" s="1364" t="str">
        <f t="shared" ca="1" si="8"/>
        <v/>
      </c>
      <c r="H41" s="1364" t="str">
        <f t="shared" ca="1" si="9"/>
        <v/>
      </c>
      <c r="I41" s="1364" t="str">
        <f t="shared" ca="1" si="10"/>
        <v/>
      </c>
      <c r="J41" s="1364" t="str">
        <f t="shared" ca="1" si="11"/>
        <v/>
      </c>
      <c r="K41" s="1364">
        <f t="shared" ca="1" si="12"/>
        <v>283.15967999999998</v>
      </c>
      <c r="L41" s="1364" t="str">
        <f t="shared" ca="1" si="13"/>
        <v/>
      </c>
      <c r="M41" s="1364" t="str">
        <f t="shared" ca="1" si="14"/>
        <v/>
      </c>
      <c r="N41" s="13">
        <f t="shared" ca="1" si="18"/>
        <v>2.3119801651363805E-2</v>
      </c>
      <c r="O41" s="13">
        <f t="shared" ca="1" si="19"/>
        <v>132.71947843137252</v>
      </c>
      <c r="P41" s="1366">
        <f t="shared" ca="1" si="19"/>
        <v>272.1163843137254</v>
      </c>
      <c r="Q41" s="13">
        <f t="shared" ca="1" si="20"/>
        <v>9.2479206605455225E-3</v>
      </c>
      <c r="R41" s="13">
        <f t="shared" ca="1" si="21"/>
        <v>53.087791372549013</v>
      </c>
      <c r="S41" s="1366">
        <f t="shared" ca="1" si="21"/>
        <v>108.84655372549018</v>
      </c>
      <c r="U41" s="13" t="str">
        <f t="shared" ca="1" si="22"/>
        <v/>
      </c>
      <c r="V41" s="13" t="str">
        <f t="shared" ca="1" si="23"/>
        <v/>
      </c>
      <c r="W41" s="13" t="str">
        <f t="shared" ca="1" si="16"/>
        <v/>
      </c>
      <c r="Y41" s="13" t="str">
        <f t="shared" ca="1" si="24"/>
        <v/>
      </c>
      <c r="Z41" s="13" t="str">
        <f t="shared" ca="1" si="25"/>
        <v/>
      </c>
      <c r="AA41" s="13" t="str">
        <f t="shared" ca="1" si="17"/>
        <v/>
      </c>
    </row>
    <row r="42" spans="1:27" x14ac:dyDescent="0.25">
      <c r="A42" s="1363">
        <v>0.38</v>
      </c>
      <c r="B42" s="13">
        <f t="shared" si="4"/>
        <v>3.78E-2</v>
      </c>
      <c r="C42" s="1364">
        <f t="shared" si="5"/>
        <v>66.61</v>
      </c>
      <c r="D42" s="1364">
        <f ca="1">B42*'Ввод исходных данных'!$G$285+C42+IF('Ввод исходных данных'!$D$159=0,7,10)</f>
        <v>285.16904</v>
      </c>
      <c r="E42" s="1431" t="str">
        <f t="shared" ca="1" si="6"/>
        <v/>
      </c>
      <c r="F42" s="1364" t="str">
        <f t="shared" ca="1" si="7"/>
        <v/>
      </c>
      <c r="G42" s="1364" t="str">
        <f t="shared" ca="1" si="8"/>
        <v/>
      </c>
      <c r="H42" s="1364" t="str">
        <f t="shared" ca="1" si="9"/>
        <v/>
      </c>
      <c r="I42" s="1364" t="str">
        <f t="shared" ca="1" si="10"/>
        <v/>
      </c>
      <c r="J42" s="1364" t="str">
        <f t="shared" ca="1" si="11"/>
        <v/>
      </c>
      <c r="K42" s="1364">
        <f t="shared" ca="1" si="12"/>
        <v>285.16904</v>
      </c>
      <c r="L42" s="1364" t="str">
        <f t="shared" ca="1" si="13"/>
        <v/>
      </c>
      <c r="M42" s="1364" t="str">
        <f t="shared" ca="1" si="14"/>
        <v/>
      </c>
      <c r="N42" s="13">
        <f t="shared" ca="1" si="18"/>
        <v>2.3119801651363805E-2</v>
      </c>
      <c r="O42" s="13">
        <f t="shared" ca="1" si="19"/>
        <v>132.71947843137252</v>
      </c>
      <c r="P42" s="1366">
        <f t="shared" ca="1" si="19"/>
        <v>272.1163843137254</v>
      </c>
      <c r="Q42" s="13">
        <f t="shared" ca="1" si="20"/>
        <v>9.2479206605455225E-3</v>
      </c>
      <c r="R42" s="13">
        <f t="shared" ca="1" si="21"/>
        <v>53.087791372549013</v>
      </c>
      <c r="S42" s="1366">
        <f t="shared" ca="1" si="21"/>
        <v>108.84655372549018</v>
      </c>
      <c r="U42" s="13" t="str">
        <f t="shared" ca="1" si="22"/>
        <v/>
      </c>
      <c r="V42" s="13" t="str">
        <f t="shared" ca="1" si="23"/>
        <v/>
      </c>
      <c r="W42" s="13" t="str">
        <f t="shared" ca="1" si="16"/>
        <v/>
      </c>
      <c r="Y42" s="13" t="str">
        <f t="shared" ca="1" si="24"/>
        <v/>
      </c>
      <c r="Z42" s="13" t="str">
        <f t="shared" ca="1" si="25"/>
        <v/>
      </c>
      <c r="AA42" s="13" t="str">
        <f t="shared" ca="1" si="17"/>
        <v/>
      </c>
    </row>
    <row r="43" spans="1:27" x14ac:dyDescent="0.25">
      <c r="A43" s="1363">
        <v>0.39</v>
      </c>
      <c r="B43" s="13">
        <f t="shared" si="4"/>
        <v>3.7999999999999999E-2</v>
      </c>
      <c r="C43" s="1364">
        <f t="shared" si="5"/>
        <v>67.7</v>
      </c>
      <c r="D43" s="1364">
        <f ca="1">B43*'Ввод исходных данных'!$G$285+C43+IF('Ввод исходных данных'!$D$159=0,7,10)</f>
        <v>287.37839999999994</v>
      </c>
      <c r="E43" s="1431" t="str">
        <f t="shared" ca="1" si="6"/>
        <v/>
      </c>
      <c r="F43" s="1364" t="str">
        <f t="shared" ca="1" si="7"/>
        <v/>
      </c>
      <c r="G43" s="1364" t="str">
        <f t="shared" ca="1" si="8"/>
        <v/>
      </c>
      <c r="H43" s="1364" t="str">
        <f t="shared" ca="1" si="9"/>
        <v/>
      </c>
      <c r="I43" s="1364" t="str">
        <f t="shared" ca="1" si="10"/>
        <v/>
      </c>
      <c r="J43" s="1364" t="str">
        <f t="shared" ca="1" si="11"/>
        <v/>
      </c>
      <c r="K43" s="1364">
        <f t="shared" ca="1" si="12"/>
        <v>287.37839999999994</v>
      </c>
      <c r="L43" s="1364" t="str">
        <f t="shared" ca="1" si="13"/>
        <v/>
      </c>
      <c r="M43" s="1364" t="str">
        <f t="shared" ca="1" si="14"/>
        <v/>
      </c>
      <c r="N43" s="13">
        <f t="shared" ca="1" si="18"/>
        <v>2.3119801651363805E-2</v>
      </c>
      <c r="O43" s="13">
        <f t="shared" ca="1" si="19"/>
        <v>132.71947843137252</v>
      </c>
      <c r="P43" s="1366">
        <f t="shared" ca="1" si="19"/>
        <v>272.1163843137254</v>
      </c>
      <c r="Q43" s="13">
        <f t="shared" ca="1" si="20"/>
        <v>9.2479206605455225E-3</v>
      </c>
      <c r="R43" s="13">
        <f t="shared" ca="1" si="21"/>
        <v>53.087791372549013</v>
      </c>
      <c r="S43" s="1366">
        <f t="shared" ca="1" si="21"/>
        <v>108.84655372549018</v>
      </c>
      <c r="U43" s="13" t="str">
        <f t="shared" ca="1" si="22"/>
        <v/>
      </c>
      <c r="V43" s="13" t="str">
        <f t="shared" ca="1" si="23"/>
        <v/>
      </c>
      <c r="W43" s="13" t="str">
        <f t="shared" ca="1" si="16"/>
        <v/>
      </c>
      <c r="Y43" s="13" t="str">
        <f t="shared" ca="1" si="24"/>
        <v/>
      </c>
      <c r="Z43" s="13" t="str">
        <f t="shared" ca="1" si="25"/>
        <v/>
      </c>
      <c r="AA43" s="13" t="str">
        <f t="shared" ca="1" si="17"/>
        <v/>
      </c>
    </row>
    <row r="44" spans="1:27" x14ac:dyDescent="0.25">
      <c r="A44" s="1363">
        <v>0.4</v>
      </c>
      <c r="B44" s="13">
        <f t="shared" si="4"/>
        <v>3.8399999999999997E-2</v>
      </c>
      <c r="C44" s="1364">
        <f t="shared" si="5"/>
        <v>68.63</v>
      </c>
      <c r="D44" s="1364">
        <f ca="1">B44*'Ввод исходных данных'!$G$285+C44+IF('Ввод исходных данных'!$D$159=0,7,10)</f>
        <v>290.54711999999995</v>
      </c>
      <c r="E44" s="1431" t="str">
        <f t="shared" ca="1" si="6"/>
        <v/>
      </c>
      <c r="F44" s="1364" t="str">
        <f t="shared" ca="1" si="7"/>
        <v/>
      </c>
      <c r="G44" s="1364" t="str">
        <f t="shared" ca="1" si="8"/>
        <v/>
      </c>
      <c r="H44" s="1364" t="str">
        <f t="shared" ca="1" si="9"/>
        <v/>
      </c>
      <c r="I44" s="1364" t="str">
        <f t="shared" ca="1" si="10"/>
        <v/>
      </c>
      <c r="J44" s="1364" t="str">
        <f t="shared" ca="1" si="11"/>
        <v/>
      </c>
      <c r="K44" s="1364">
        <f t="shared" ca="1" si="12"/>
        <v>290.54711999999995</v>
      </c>
      <c r="L44" s="1364" t="str">
        <f t="shared" ca="1" si="13"/>
        <v/>
      </c>
      <c r="M44" s="1364" t="str">
        <f t="shared" ca="1" si="14"/>
        <v/>
      </c>
      <c r="N44" s="13">
        <f t="shared" ca="1" si="18"/>
        <v>2.3119801651363805E-2</v>
      </c>
      <c r="O44" s="13">
        <f t="shared" ca="1" si="19"/>
        <v>132.71947843137252</v>
      </c>
      <c r="P44" s="1366">
        <f t="shared" ca="1" si="19"/>
        <v>272.1163843137254</v>
      </c>
      <c r="Q44" s="13">
        <f t="shared" ca="1" si="20"/>
        <v>9.2479206605455225E-3</v>
      </c>
      <c r="R44" s="13">
        <f t="shared" ca="1" si="21"/>
        <v>53.087791372549013</v>
      </c>
      <c r="S44" s="1366">
        <f t="shared" ca="1" si="21"/>
        <v>108.84655372549018</v>
      </c>
      <c r="U44" s="13" t="str">
        <f t="shared" ca="1" si="22"/>
        <v/>
      </c>
      <c r="V44" s="13" t="str">
        <f t="shared" ca="1" si="23"/>
        <v/>
      </c>
      <c r="W44" s="13" t="str">
        <f t="shared" ca="1" si="16"/>
        <v/>
      </c>
      <c r="Y44" s="13" t="str">
        <f t="shared" ca="1" si="24"/>
        <v/>
      </c>
      <c r="Z44" s="13" t="str">
        <f t="shared" ca="1" si="25"/>
        <v/>
      </c>
      <c r="AA44" s="13" t="str">
        <f t="shared" ca="1" si="17"/>
        <v/>
      </c>
    </row>
    <row r="45" spans="1:27" x14ac:dyDescent="0.25">
      <c r="A45" s="1363">
        <v>0.41</v>
      </c>
      <c r="B45" s="13">
        <f t="shared" si="4"/>
        <v>3.8699999999999998E-2</v>
      </c>
      <c r="C45" s="1364">
        <f t="shared" si="5"/>
        <v>69.569999999999993</v>
      </c>
      <c r="D45" s="1364">
        <f ca="1">B45*'Ввод исходных данных'!$G$285+C45+IF('Ввод исходных данных'!$D$159=0,7,10)</f>
        <v>293.16615999999999</v>
      </c>
      <c r="E45" s="1431" t="str">
        <f t="shared" ca="1" si="6"/>
        <v/>
      </c>
      <c r="F45" s="1364" t="str">
        <f t="shared" ca="1" si="7"/>
        <v/>
      </c>
      <c r="G45" s="1364" t="str">
        <f t="shared" ca="1" si="8"/>
        <v/>
      </c>
      <c r="H45" s="1364" t="str">
        <f t="shared" ca="1" si="9"/>
        <v/>
      </c>
      <c r="I45" s="1364" t="str">
        <f t="shared" ca="1" si="10"/>
        <v/>
      </c>
      <c r="J45" s="1364" t="str">
        <f t="shared" ca="1" si="11"/>
        <v/>
      </c>
      <c r="K45" s="1364">
        <f t="shared" ca="1" si="12"/>
        <v>293.16615999999999</v>
      </c>
      <c r="L45" s="1364" t="str">
        <f t="shared" ca="1" si="13"/>
        <v/>
      </c>
      <c r="M45" s="1364" t="str">
        <f t="shared" ca="1" si="14"/>
        <v/>
      </c>
      <c r="N45" s="13">
        <f t="shared" ca="1" si="18"/>
        <v>2.3119801651363805E-2</v>
      </c>
      <c r="O45" s="13">
        <f t="shared" ca="1" si="19"/>
        <v>132.71947843137252</v>
      </c>
      <c r="P45" s="1366">
        <f t="shared" ca="1" si="19"/>
        <v>272.1163843137254</v>
      </c>
      <c r="Q45" s="13">
        <f t="shared" ca="1" si="20"/>
        <v>9.2479206605455225E-3</v>
      </c>
      <c r="R45" s="13">
        <f t="shared" ca="1" si="21"/>
        <v>53.087791372549013</v>
      </c>
      <c r="S45" s="1366">
        <f t="shared" ca="1" si="21"/>
        <v>108.84655372549018</v>
      </c>
      <c r="U45" s="13" t="str">
        <f t="shared" ca="1" si="22"/>
        <v/>
      </c>
      <c r="V45" s="13" t="str">
        <f t="shared" ca="1" si="23"/>
        <v/>
      </c>
      <c r="W45" s="13" t="str">
        <f t="shared" ca="1" si="16"/>
        <v/>
      </c>
      <c r="Y45" s="13" t="str">
        <f t="shared" ca="1" si="24"/>
        <v/>
      </c>
      <c r="Z45" s="13" t="str">
        <f t="shared" ca="1" si="25"/>
        <v/>
      </c>
      <c r="AA45" s="13" t="str">
        <f t="shared" ca="1" si="17"/>
        <v/>
      </c>
    </row>
    <row r="46" spans="1:27" x14ac:dyDescent="0.25">
      <c r="A46" s="1363">
        <v>0.42</v>
      </c>
      <c r="B46" s="13">
        <f t="shared" si="4"/>
        <v>3.9E-2</v>
      </c>
      <c r="C46" s="1364">
        <f t="shared" si="5"/>
        <v>70.239999999999995</v>
      </c>
      <c r="D46" s="1364">
        <f ca="1">B46*'Ввод исходных данных'!$G$285+C46+IF('Ввод исходных данных'!$D$159=0,7,10)</f>
        <v>295.51519999999999</v>
      </c>
      <c r="E46" s="1431" t="str">
        <f t="shared" ca="1" si="6"/>
        <v/>
      </c>
      <c r="F46" s="1364" t="str">
        <f t="shared" ca="1" si="7"/>
        <v/>
      </c>
      <c r="G46" s="1364" t="str">
        <f t="shared" ca="1" si="8"/>
        <v/>
      </c>
      <c r="H46" s="1364" t="str">
        <f t="shared" ca="1" si="9"/>
        <v/>
      </c>
      <c r="I46" s="1364" t="str">
        <f t="shared" ca="1" si="10"/>
        <v/>
      </c>
      <c r="J46" s="1364" t="str">
        <f t="shared" ca="1" si="11"/>
        <v/>
      </c>
      <c r="K46" s="1364">
        <f t="shared" ca="1" si="12"/>
        <v>295.51519999999999</v>
      </c>
      <c r="L46" s="1364" t="str">
        <f t="shared" ca="1" si="13"/>
        <v/>
      </c>
      <c r="M46" s="1364" t="str">
        <f t="shared" ca="1" si="14"/>
        <v/>
      </c>
      <c r="N46" s="13">
        <f t="shared" ca="1" si="18"/>
        <v>2.3119801651363805E-2</v>
      </c>
      <c r="O46" s="13">
        <f t="shared" ca="1" si="19"/>
        <v>132.71947843137252</v>
      </c>
      <c r="P46" s="1366">
        <f t="shared" ca="1" si="19"/>
        <v>272.1163843137254</v>
      </c>
      <c r="Q46" s="13">
        <f t="shared" ca="1" si="20"/>
        <v>9.2479206605455225E-3</v>
      </c>
      <c r="R46" s="13">
        <f t="shared" ca="1" si="21"/>
        <v>53.087791372549013</v>
      </c>
      <c r="S46" s="1366">
        <f t="shared" ca="1" si="21"/>
        <v>108.84655372549018</v>
      </c>
      <c r="U46" s="13" t="str">
        <f t="shared" ca="1" si="22"/>
        <v/>
      </c>
      <c r="V46" s="13" t="str">
        <f t="shared" ca="1" si="23"/>
        <v/>
      </c>
      <c r="W46" s="13" t="str">
        <f t="shared" ca="1" si="16"/>
        <v/>
      </c>
      <c r="Y46" s="13" t="str">
        <f t="shared" ca="1" si="24"/>
        <v/>
      </c>
      <c r="Z46" s="13" t="str">
        <f t="shared" ca="1" si="25"/>
        <v/>
      </c>
      <c r="AA46" s="13" t="str">
        <f t="shared" ca="1" si="17"/>
        <v/>
      </c>
    </row>
    <row r="47" spans="1:27" x14ac:dyDescent="0.25">
      <c r="A47" s="1363">
        <v>0.43</v>
      </c>
      <c r="B47" s="13">
        <f t="shared" si="4"/>
        <v>3.9199999999999999E-2</v>
      </c>
      <c r="C47" s="1364">
        <f t="shared" si="5"/>
        <v>70.819999999999993</v>
      </c>
      <c r="D47" s="1364">
        <f ca="1">B47*'Ввод исходных данных'!$G$285+C47+IF('Ввод исходных данных'!$D$159=0,7,10)</f>
        <v>297.21455999999995</v>
      </c>
      <c r="E47" s="1431" t="str">
        <f t="shared" ca="1" si="6"/>
        <v/>
      </c>
      <c r="F47" s="1364" t="str">
        <f t="shared" ca="1" si="7"/>
        <v/>
      </c>
      <c r="G47" s="1364" t="str">
        <f t="shared" ca="1" si="8"/>
        <v/>
      </c>
      <c r="H47" s="1364" t="str">
        <f t="shared" ca="1" si="9"/>
        <v/>
      </c>
      <c r="I47" s="1364" t="str">
        <f t="shared" ca="1" si="10"/>
        <v/>
      </c>
      <c r="J47" s="1364" t="str">
        <f t="shared" ca="1" si="11"/>
        <v/>
      </c>
      <c r="K47" s="1364">
        <f t="shared" ca="1" si="12"/>
        <v>297.21455999999995</v>
      </c>
      <c r="L47" s="1364" t="str">
        <f t="shared" ca="1" si="13"/>
        <v/>
      </c>
      <c r="M47" s="1364" t="str">
        <f t="shared" ca="1" si="14"/>
        <v/>
      </c>
      <c r="N47" s="13">
        <f t="shared" ca="1" si="18"/>
        <v>2.3119801651363805E-2</v>
      </c>
      <c r="O47" s="13">
        <f t="shared" ca="1" si="19"/>
        <v>132.71947843137252</v>
      </c>
      <c r="P47" s="1366">
        <f t="shared" ca="1" si="19"/>
        <v>272.1163843137254</v>
      </c>
      <c r="Q47" s="13">
        <f t="shared" ca="1" si="20"/>
        <v>9.2479206605455225E-3</v>
      </c>
      <c r="R47" s="13">
        <f t="shared" ca="1" si="21"/>
        <v>53.087791372549013</v>
      </c>
      <c r="S47" s="1366">
        <f t="shared" ca="1" si="21"/>
        <v>108.84655372549018</v>
      </c>
      <c r="U47" s="13" t="str">
        <f t="shared" ca="1" si="22"/>
        <v/>
      </c>
      <c r="V47" s="13" t="str">
        <f t="shared" ca="1" si="23"/>
        <v/>
      </c>
      <c r="W47" s="13" t="str">
        <f t="shared" ca="1" si="16"/>
        <v/>
      </c>
      <c r="Y47" s="13" t="str">
        <f t="shared" ca="1" si="24"/>
        <v/>
      </c>
      <c r="Z47" s="13" t="str">
        <f t="shared" ca="1" si="25"/>
        <v/>
      </c>
      <c r="AA47" s="13" t="str">
        <f t="shared" ca="1" si="17"/>
        <v/>
      </c>
    </row>
    <row r="48" spans="1:27" x14ac:dyDescent="0.25">
      <c r="A48" s="1363">
        <v>0.44</v>
      </c>
      <c r="B48" s="13">
        <f t="shared" si="4"/>
        <v>3.95E-2</v>
      </c>
      <c r="C48" s="1364">
        <f t="shared" si="5"/>
        <v>71.33</v>
      </c>
      <c r="D48" s="1364">
        <f ca="1">B48*'Ввод исходных данных'!$G$285+C48+IF('Ввод исходных данных'!$D$159=0,7,10)</f>
        <v>299.40359999999998</v>
      </c>
      <c r="E48" s="1431" t="str">
        <f t="shared" ca="1" si="6"/>
        <v/>
      </c>
      <c r="F48" s="1364" t="str">
        <f t="shared" ca="1" si="7"/>
        <v/>
      </c>
      <c r="G48" s="1364" t="str">
        <f t="shared" ca="1" si="8"/>
        <v/>
      </c>
      <c r="H48" s="1364" t="str">
        <f t="shared" ca="1" si="9"/>
        <v/>
      </c>
      <c r="I48" s="1364" t="str">
        <f t="shared" ca="1" si="10"/>
        <v/>
      </c>
      <c r="J48" s="1364" t="str">
        <f t="shared" ca="1" si="11"/>
        <v/>
      </c>
      <c r="K48" s="1364">
        <f t="shared" ca="1" si="12"/>
        <v>299.40359999999998</v>
      </c>
      <c r="L48" s="1364" t="str">
        <f t="shared" ca="1" si="13"/>
        <v/>
      </c>
      <c r="M48" s="1364" t="str">
        <f t="shared" ca="1" si="14"/>
        <v/>
      </c>
      <c r="N48" s="13">
        <f t="shared" ca="1" si="18"/>
        <v>2.3119801651363805E-2</v>
      </c>
      <c r="O48" s="13">
        <f t="shared" ca="1" si="19"/>
        <v>132.71947843137252</v>
      </c>
      <c r="P48" s="1366">
        <f t="shared" ca="1" si="19"/>
        <v>272.1163843137254</v>
      </c>
      <c r="Q48" s="13">
        <f t="shared" ca="1" si="20"/>
        <v>9.2479206605455225E-3</v>
      </c>
      <c r="R48" s="13">
        <f t="shared" ca="1" si="21"/>
        <v>53.087791372549013</v>
      </c>
      <c r="S48" s="1366">
        <f t="shared" ca="1" si="21"/>
        <v>108.84655372549018</v>
      </c>
      <c r="U48" s="13" t="str">
        <f t="shared" ca="1" si="22"/>
        <v/>
      </c>
      <c r="V48" s="13" t="str">
        <f t="shared" ca="1" si="23"/>
        <v/>
      </c>
      <c r="W48" s="13" t="str">
        <f t="shared" ca="1" si="16"/>
        <v/>
      </c>
      <c r="Y48" s="13" t="str">
        <f t="shared" ca="1" si="24"/>
        <v/>
      </c>
      <c r="Z48" s="13" t="str">
        <f t="shared" ca="1" si="25"/>
        <v/>
      </c>
      <c r="AA48" s="13" t="str">
        <f t="shared" ca="1" si="17"/>
        <v/>
      </c>
    </row>
    <row r="49" spans="1:27" x14ac:dyDescent="0.25">
      <c r="A49" s="1363">
        <v>0.45</v>
      </c>
      <c r="B49" s="13">
        <f t="shared" si="4"/>
        <v>3.9800000000000002E-2</v>
      </c>
      <c r="C49" s="1364">
        <f t="shared" si="5"/>
        <v>72.319999999999993</v>
      </c>
      <c r="D49" s="1364">
        <f ca="1">B49*'Ввод исходных данных'!$G$285+C49+IF('Ввод исходных данных'!$D$159=0,7,10)</f>
        <v>302.07263999999998</v>
      </c>
      <c r="E49" s="1431" t="str">
        <f t="shared" ca="1" si="6"/>
        <v/>
      </c>
      <c r="F49" s="1364" t="str">
        <f t="shared" ca="1" si="7"/>
        <v/>
      </c>
      <c r="G49" s="1364" t="str">
        <f t="shared" ca="1" si="8"/>
        <v/>
      </c>
      <c r="H49" s="1364" t="str">
        <f t="shared" ca="1" si="9"/>
        <v/>
      </c>
      <c r="I49" s="1364" t="str">
        <f t="shared" ca="1" si="10"/>
        <v/>
      </c>
      <c r="J49" s="1364" t="str">
        <f t="shared" ca="1" si="11"/>
        <v/>
      </c>
      <c r="K49" s="1364">
        <f t="shared" ca="1" si="12"/>
        <v>302.07263999999998</v>
      </c>
      <c r="L49" s="1364" t="str">
        <f t="shared" ca="1" si="13"/>
        <v/>
      </c>
      <c r="M49" s="1364" t="str">
        <f t="shared" ca="1" si="14"/>
        <v/>
      </c>
      <c r="N49" s="13">
        <f t="shared" ca="1" si="18"/>
        <v>2.3119801651363805E-2</v>
      </c>
      <c r="O49" s="13">
        <f t="shared" ca="1" si="19"/>
        <v>132.71947843137252</v>
      </c>
      <c r="P49" s="1366">
        <f t="shared" ca="1" si="19"/>
        <v>272.1163843137254</v>
      </c>
      <c r="Q49" s="13">
        <f t="shared" ca="1" si="20"/>
        <v>9.2479206605455225E-3</v>
      </c>
      <c r="R49" s="13">
        <f t="shared" ca="1" si="21"/>
        <v>53.087791372549013</v>
      </c>
      <c r="S49" s="1366">
        <f t="shared" ca="1" si="21"/>
        <v>108.84655372549018</v>
      </c>
      <c r="U49" s="13" t="str">
        <f t="shared" ca="1" si="22"/>
        <v/>
      </c>
      <c r="V49" s="13" t="str">
        <f t="shared" ca="1" si="23"/>
        <v/>
      </c>
      <c r="W49" s="13" t="str">
        <f t="shared" ca="1" si="16"/>
        <v/>
      </c>
      <c r="Y49" s="13" t="str">
        <f t="shared" ca="1" si="24"/>
        <v/>
      </c>
      <c r="Z49" s="13" t="str">
        <f t="shared" ca="1" si="25"/>
        <v/>
      </c>
      <c r="AA49" s="13">
        <f t="shared" ca="1" si="17"/>
        <v>303.45692315768929</v>
      </c>
    </row>
    <row r="50" spans="1:27" x14ac:dyDescent="0.25">
      <c r="A50" s="1363">
        <v>0.46</v>
      </c>
      <c r="B50" s="13">
        <f t="shared" si="4"/>
        <v>0.04</v>
      </c>
      <c r="C50" s="1364">
        <f t="shared" si="5"/>
        <v>72.989999999999995</v>
      </c>
      <c r="D50" s="1364">
        <f ca="1">B50*'Ввод исходных данных'!$G$285+C50+IF('Ввод исходных данных'!$D$159=0,7,10)</f>
        <v>303.86199999999997</v>
      </c>
      <c r="E50" s="1431" t="str">
        <f t="shared" ca="1" si="6"/>
        <v/>
      </c>
      <c r="F50" s="1364" t="str">
        <f t="shared" ca="1" si="7"/>
        <v/>
      </c>
      <c r="G50" s="1364" t="str">
        <f t="shared" ca="1" si="8"/>
        <v/>
      </c>
      <c r="H50" s="1364" t="str">
        <f t="shared" ca="1" si="9"/>
        <v/>
      </c>
      <c r="I50" s="1364" t="str">
        <f t="shared" ca="1" si="10"/>
        <v/>
      </c>
      <c r="J50" s="1364" t="str">
        <f t="shared" ca="1" si="11"/>
        <v/>
      </c>
      <c r="K50" s="1364">
        <f t="shared" ca="1" si="12"/>
        <v>303.86199999999997</v>
      </c>
      <c r="L50" s="1364" t="str">
        <f t="shared" ca="1" si="13"/>
        <v/>
      </c>
      <c r="M50" s="1364" t="str">
        <f t="shared" ca="1" si="14"/>
        <v/>
      </c>
      <c r="N50" s="13">
        <f t="shared" ca="1" si="18"/>
        <v>2.3119801651363805E-2</v>
      </c>
      <c r="O50" s="13">
        <f t="shared" ca="1" si="19"/>
        <v>132.71947843137252</v>
      </c>
      <c r="P50" s="1366">
        <f t="shared" ca="1" si="19"/>
        <v>272.1163843137254</v>
      </c>
      <c r="Q50" s="13">
        <f t="shared" ca="1" si="20"/>
        <v>9.2479206605455225E-3</v>
      </c>
      <c r="R50" s="13">
        <f t="shared" ca="1" si="21"/>
        <v>53.087791372549013</v>
      </c>
      <c r="S50" s="1366">
        <f t="shared" ca="1" si="21"/>
        <v>108.84655372549018</v>
      </c>
      <c r="U50" s="13" t="str">
        <f t="shared" ca="1" si="22"/>
        <v/>
      </c>
      <c r="V50" s="13" t="str">
        <f t="shared" ca="1" si="23"/>
        <v/>
      </c>
      <c r="W50" s="13" t="str">
        <f t="shared" ca="1" si="16"/>
        <v/>
      </c>
      <c r="Y50" s="13" t="str">
        <f t="shared" ca="1" si="24"/>
        <v/>
      </c>
      <c r="Z50" s="13" t="str">
        <f t="shared" ca="1" si="25"/>
        <v/>
      </c>
      <c r="AA50" s="13" t="str">
        <f t="shared" ca="1" si="17"/>
        <v/>
      </c>
    </row>
    <row r="51" spans="1:27" x14ac:dyDescent="0.25">
      <c r="A51" s="1363">
        <v>0.47</v>
      </c>
      <c r="B51" s="13">
        <f t="shared" si="4"/>
        <v>4.02E-2</v>
      </c>
      <c r="C51" s="1364">
        <f t="shared" si="5"/>
        <v>73.47</v>
      </c>
      <c r="D51" s="1364">
        <f ca="1">B51*'Ввод исходных данных'!$G$285+C51+IF('Ввод исходных данных'!$D$159=0,7,10)</f>
        <v>305.46135999999996</v>
      </c>
      <c r="E51" s="1431" t="str">
        <f t="shared" ca="1" si="6"/>
        <v/>
      </c>
      <c r="F51" s="1364" t="str">
        <f t="shared" ca="1" si="7"/>
        <v/>
      </c>
      <c r="G51" s="1364" t="str">
        <f t="shared" ca="1" si="8"/>
        <v/>
      </c>
      <c r="H51" s="1364" t="str">
        <f t="shared" ca="1" si="9"/>
        <v/>
      </c>
      <c r="I51" s="1364" t="str">
        <f t="shared" ca="1" si="10"/>
        <v/>
      </c>
      <c r="J51" s="1364" t="str">
        <f t="shared" ca="1" si="11"/>
        <v/>
      </c>
      <c r="K51" s="1364">
        <f t="shared" ca="1" si="12"/>
        <v>305.46135999999996</v>
      </c>
      <c r="L51" s="1364" t="str">
        <f t="shared" ca="1" si="13"/>
        <v/>
      </c>
      <c r="M51" s="1364" t="str">
        <f t="shared" ca="1" si="14"/>
        <v/>
      </c>
      <c r="N51" s="13">
        <f t="shared" ca="1" si="18"/>
        <v>2.3119801651363805E-2</v>
      </c>
      <c r="O51" s="13">
        <f t="shared" ca="1" si="19"/>
        <v>132.71947843137252</v>
      </c>
      <c r="P51" s="1366">
        <f t="shared" ca="1" si="19"/>
        <v>272.1163843137254</v>
      </c>
      <c r="Q51" s="13">
        <f t="shared" ca="1" si="20"/>
        <v>9.2479206605455225E-3</v>
      </c>
      <c r="R51" s="13">
        <f t="shared" ca="1" si="21"/>
        <v>53.087791372549013</v>
      </c>
      <c r="S51" s="1366">
        <f t="shared" ca="1" si="21"/>
        <v>108.84655372549018</v>
      </c>
      <c r="U51" s="13" t="str">
        <f t="shared" ca="1" si="22"/>
        <v/>
      </c>
      <c r="V51" s="13" t="str">
        <f t="shared" ca="1" si="23"/>
        <v/>
      </c>
      <c r="W51" s="13" t="str">
        <f t="shared" ca="1" si="16"/>
        <v/>
      </c>
      <c r="Y51" s="13" t="str">
        <f t="shared" ca="1" si="24"/>
        <v/>
      </c>
      <c r="Z51" s="13" t="str">
        <f t="shared" ca="1" si="25"/>
        <v/>
      </c>
      <c r="AA51" s="13" t="str">
        <f t="shared" ca="1" si="17"/>
        <v/>
      </c>
    </row>
    <row r="52" spans="1:27" x14ac:dyDescent="0.25">
      <c r="A52" s="1363">
        <v>0.48</v>
      </c>
      <c r="B52" s="13">
        <f t="shared" si="4"/>
        <v>4.0500000000000001E-2</v>
      </c>
      <c r="C52" s="1364">
        <f t="shared" si="5"/>
        <v>74.53</v>
      </c>
      <c r="D52" s="1364">
        <f ca="1">B52*'Ввод исходных данных'!$G$285+C52+IF('Ввод исходных данных'!$D$159=0,7,10)</f>
        <v>308.20039999999995</v>
      </c>
      <c r="E52" s="1431" t="str">
        <f t="shared" ca="1" si="6"/>
        <v/>
      </c>
      <c r="F52" s="1364" t="str">
        <f t="shared" ca="1" si="7"/>
        <v/>
      </c>
      <c r="G52" s="1364" t="str">
        <f t="shared" ca="1" si="8"/>
        <v/>
      </c>
      <c r="H52" s="1364" t="str">
        <f t="shared" ca="1" si="9"/>
        <v/>
      </c>
      <c r="I52" s="1364" t="str">
        <f t="shared" ca="1" si="10"/>
        <v/>
      </c>
      <c r="J52" s="1364" t="str">
        <f t="shared" ca="1" si="11"/>
        <v/>
      </c>
      <c r="K52" s="1364">
        <f t="shared" ca="1" si="12"/>
        <v>308.20039999999995</v>
      </c>
      <c r="L52" s="1364" t="str">
        <f t="shared" ca="1" si="13"/>
        <v/>
      </c>
      <c r="M52" s="1364" t="str">
        <f t="shared" ca="1" si="14"/>
        <v/>
      </c>
      <c r="N52" s="13">
        <f t="shared" ca="1" si="18"/>
        <v>2.3119801651363805E-2</v>
      </c>
      <c r="O52" s="13">
        <f t="shared" ca="1" si="19"/>
        <v>132.71947843137252</v>
      </c>
      <c r="P52" s="1366">
        <f t="shared" ca="1" si="19"/>
        <v>272.1163843137254</v>
      </c>
      <c r="Q52" s="13">
        <f t="shared" ca="1" si="20"/>
        <v>9.2479206605455225E-3</v>
      </c>
      <c r="R52" s="13">
        <f t="shared" ca="1" si="21"/>
        <v>53.087791372549013</v>
      </c>
      <c r="S52" s="1366">
        <f t="shared" ca="1" si="21"/>
        <v>108.84655372549018</v>
      </c>
      <c r="U52" s="13" t="str">
        <f t="shared" ca="1" si="22"/>
        <v/>
      </c>
      <c r="V52" s="13" t="str">
        <f t="shared" ca="1" si="23"/>
        <v/>
      </c>
      <c r="W52" s="13" t="str">
        <f t="shared" ca="1" si="16"/>
        <v/>
      </c>
      <c r="Y52" s="13" t="str">
        <f t="shared" ca="1" si="24"/>
        <v/>
      </c>
      <c r="Z52" s="13" t="str">
        <f t="shared" ca="1" si="25"/>
        <v/>
      </c>
      <c r="AA52" s="13" t="str">
        <f t="shared" ca="1" si="17"/>
        <v/>
      </c>
    </row>
    <row r="53" spans="1:27" x14ac:dyDescent="0.25">
      <c r="A53" s="1363">
        <v>0.49</v>
      </c>
      <c r="B53" s="13">
        <f t="shared" si="4"/>
        <v>4.0800000000000003E-2</v>
      </c>
      <c r="C53" s="1364">
        <f t="shared" si="5"/>
        <v>75.37</v>
      </c>
      <c r="D53" s="1364">
        <f ca="1">B53*'Ввод исходных данных'!$G$285+C53+IF('Ввод исходных данных'!$D$159=0,7,10)</f>
        <v>310.71943999999996</v>
      </c>
      <c r="E53" s="1431" t="str">
        <f t="shared" ca="1" si="6"/>
        <v/>
      </c>
      <c r="F53" s="1364" t="str">
        <f t="shared" ca="1" si="7"/>
        <v/>
      </c>
      <c r="G53" s="1364" t="str">
        <f t="shared" ca="1" si="8"/>
        <v/>
      </c>
      <c r="H53" s="1364" t="str">
        <f t="shared" ca="1" si="9"/>
        <v/>
      </c>
      <c r="I53" s="1364" t="str">
        <f t="shared" ca="1" si="10"/>
        <v/>
      </c>
      <c r="J53" s="1364" t="str">
        <f t="shared" ca="1" si="11"/>
        <v/>
      </c>
      <c r="K53" s="1364">
        <f t="shared" ca="1" si="12"/>
        <v>310.71943999999996</v>
      </c>
      <c r="L53" s="1364" t="str">
        <f t="shared" ca="1" si="13"/>
        <v/>
      </c>
      <c r="M53" s="1364" t="str">
        <f t="shared" ca="1" si="14"/>
        <v/>
      </c>
      <c r="N53" s="13">
        <f t="shared" ca="1" si="18"/>
        <v>2.3119801651363805E-2</v>
      </c>
      <c r="O53" s="13">
        <f t="shared" ca="1" si="19"/>
        <v>132.71947843137252</v>
      </c>
      <c r="P53" s="1366">
        <f t="shared" ca="1" si="19"/>
        <v>272.1163843137254</v>
      </c>
      <c r="Q53" s="13">
        <f t="shared" ca="1" si="20"/>
        <v>9.2479206605455225E-3</v>
      </c>
      <c r="R53" s="13">
        <f t="shared" ca="1" si="21"/>
        <v>53.087791372549013</v>
      </c>
      <c r="S53" s="1366">
        <f t="shared" ca="1" si="21"/>
        <v>108.84655372549018</v>
      </c>
      <c r="U53" s="13" t="str">
        <f t="shared" ca="1" si="22"/>
        <v/>
      </c>
      <c r="V53" s="13" t="str">
        <f t="shared" ca="1" si="23"/>
        <v/>
      </c>
      <c r="W53" s="13" t="str">
        <f t="shared" ca="1" si="16"/>
        <v/>
      </c>
      <c r="Y53" s="13" t="str">
        <f t="shared" ca="1" si="24"/>
        <v/>
      </c>
      <c r="Z53" s="13" t="str">
        <f t="shared" ca="1" si="25"/>
        <v/>
      </c>
      <c r="AA53" s="13" t="str">
        <f t="shared" ca="1" si="17"/>
        <v/>
      </c>
    </row>
    <row r="54" spans="1:27" x14ac:dyDescent="0.25">
      <c r="A54" s="1363">
        <v>0.5</v>
      </c>
      <c r="B54" s="13">
        <f t="shared" si="4"/>
        <v>4.1000000000000002E-2</v>
      </c>
      <c r="C54" s="1364">
        <f t="shared" si="5"/>
        <v>76.069999999999993</v>
      </c>
      <c r="D54" s="1364">
        <f ca="1">B54*'Ввод исходных данных'!$G$285+C54+IF('Ввод исходных данных'!$D$159=0,7,10)</f>
        <v>312.53879999999998</v>
      </c>
      <c r="E54" s="1431" t="str">
        <f t="shared" ca="1" si="6"/>
        <v/>
      </c>
      <c r="F54" s="1364" t="str">
        <f t="shared" ca="1" si="7"/>
        <v/>
      </c>
      <c r="G54" s="1364" t="str">
        <f t="shared" ca="1" si="8"/>
        <v/>
      </c>
      <c r="H54" s="1364" t="str">
        <f t="shared" ca="1" si="9"/>
        <v/>
      </c>
      <c r="I54" s="1364" t="str">
        <f t="shared" ca="1" si="10"/>
        <v/>
      </c>
      <c r="J54" s="1364" t="str">
        <f t="shared" ca="1" si="11"/>
        <v/>
      </c>
      <c r="K54" s="1364">
        <f t="shared" ca="1" si="12"/>
        <v>312.53879999999998</v>
      </c>
      <c r="L54" s="1364" t="str">
        <f t="shared" ca="1" si="13"/>
        <v/>
      </c>
      <c r="M54" s="1364" t="str">
        <f t="shared" ca="1" si="14"/>
        <v/>
      </c>
      <c r="N54" s="13">
        <f t="shared" ca="1" si="18"/>
        <v>2.3119801651363805E-2</v>
      </c>
      <c r="O54" s="13">
        <f t="shared" ca="1" si="19"/>
        <v>132.71947843137252</v>
      </c>
      <c r="P54" s="1366">
        <f t="shared" ca="1" si="19"/>
        <v>272.1163843137254</v>
      </c>
      <c r="Q54" s="13">
        <f t="shared" ca="1" si="20"/>
        <v>9.2479206605455225E-3</v>
      </c>
      <c r="R54" s="13">
        <f t="shared" ca="1" si="21"/>
        <v>53.087791372549013</v>
      </c>
      <c r="S54" s="1366">
        <f t="shared" ca="1" si="21"/>
        <v>108.84655372549018</v>
      </c>
      <c r="U54" s="13" t="str">
        <f t="shared" ca="1" si="22"/>
        <v/>
      </c>
      <c r="V54" s="13" t="str">
        <f t="shared" ca="1" si="23"/>
        <v/>
      </c>
      <c r="W54" s="13" t="str">
        <f t="shared" ca="1" si="16"/>
        <v/>
      </c>
      <c r="Y54" s="13" t="str">
        <f t="shared" ca="1" si="24"/>
        <v/>
      </c>
      <c r="Z54" s="13" t="str">
        <f t="shared" ca="1" si="25"/>
        <v/>
      </c>
      <c r="AA54" s="13" t="str">
        <f t="shared" ca="1" si="17"/>
        <v/>
      </c>
    </row>
    <row r="55" spans="1:27" x14ac:dyDescent="0.25">
      <c r="A55" s="1363">
        <v>0.51</v>
      </c>
      <c r="B55" s="13">
        <f t="shared" si="4"/>
        <v>4.1300000000000003E-2</v>
      </c>
      <c r="C55" s="1364">
        <f t="shared" si="5"/>
        <v>76.81</v>
      </c>
      <c r="D55" s="1364">
        <f ca="1">B55*'Ввод исходных данных'!$G$285+C55+IF('Ввод исходных данных'!$D$159=0,7,10)</f>
        <v>314.95784000000003</v>
      </c>
      <c r="E55" s="1431" t="str">
        <f t="shared" ca="1" si="6"/>
        <v/>
      </c>
      <c r="F55" s="1364" t="str">
        <f t="shared" ca="1" si="7"/>
        <v/>
      </c>
      <c r="G55" s="1364" t="str">
        <f t="shared" ca="1" si="8"/>
        <v/>
      </c>
      <c r="H55" s="1364" t="str">
        <f t="shared" ca="1" si="9"/>
        <v/>
      </c>
      <c r="I55" s="1364" t="str">
        <f t="shared" ca="1" si="10"/>
        <v/>
      </c>
      <c r="J55" s="1364" t="str">
        <f t="shared" ca="1" si="11"/>
        <v/>
      </c>
      <c r="K55" s="1364">
        <f t="shared" ca="1" si="12"/>
        <v>314.95784000000003</v>
      </c>
      <c r="L55" s="1364" t="str">
        <f t="shared" ca="1" si="13"/>
        <v/>
      </c>
      <c r="M55" s="1364" t="str">
        <f t="shared" ca="1" si="14"/>
        <v/>
      </c>
      <c r="N55" s="13">
        <f t="shared" ca="1" si="18"/>
        <v>2.3119801651363805E-2</v>
      </c>
      <c r="O55" s="13">
        <f t="shared" ca="1" si="19"/>
        <v>132.71947843137252</v>
      </c>
      <c r="P55" s="1366">
        <f t="shared" ca="1" si="19"/>
        <v>272.1163843137254</v>
      </c>
      <c r="Q55" s="13">
        <f t="shared" ca="1" si="20"/>
        <v>9.2479206605455225E-3</v>
      </c>
      <c r="R55" s="13">
        <f t="shared" ca="1" si="21"/>
        <v>53.087791372549013</v>
      </c>
      <c r="S55" s="1366">
        <f t="shared" ca="1" si="21"/>
        <v>108.84655372549018</v>
      </c>
      <c r="U55" s="13" t="str">
        <f t="shared" ca="1" si="22"/>
        <v/>
      </c>
      <c r="V55" s="13" t="str">
        <f t="shared" ca="1" si="23"/>
        <v/>
      </c>
      <c r="W55" s="13" t="str">
        <f t="shared" ca="1" si="16"/>
        <v/>
      </c>
      <c r="Y55" s="13" t="str">
        <f t="shared" ca="1" si="24"/>
        <v/>
      </c>
      <c r="Z55" s="13" t="str">
        <f t="shared" ca="1" si="25"/>
        <v/>
      </c>
      <c r="AA55" s="13" t="str">
        <f t="shared" ca="1" si="17"/>
        <v/>
      </c>
    </row>
    <row r="56" spans="1:27" x14ac:dyDescent="0.25">
      <c r="A56" s="1363">
        <v>0.52</v>
      </c>
      <c r="B56" s="13">
        <f t="shared" si="4"/>
        <v>4.1599999999999998E-2</v>
      </c>
      <c r="C56" s="1364">
        <f t="shared" si="5"/>
        <v>77.44</v>
      </c>
      <c r="D56" s="1364">
        <f ca="1">B56*'Ввод исходных данных'!$G$285+C56+IF('Ввод исходных данных'!$D$159=0,7,10)</f>
        <v>317.26687999999996</v>
      </c>
      <c r="E56" s="1431" t="str">
        <f t="shared" ca="1" si="6"/>
        <v/>
      </c>
      <c r="F56" s="1364" t="str">
        <f t="shared" ca="1" si="7"/>
        <v/>
      </c>
      <c r="G56" s="1364" t="str">
        <f t="shared" ca="1" si="8"/>
        <v/>
      </c>
      <c r="H56" s="1364" t="str">
        <f t="shared" ca="1" si="9"/>
        <v/>
      </c>
      <c r="I56" s="1364" t="str">
        <f t="shared" ca="1" si="10"/>
        <v/>
      </c>
      <c r="J56" s="1364" t="str">
        <f t="shared" ca="1" si="11"/>
        <v/>
      </c>
      <c r="K56" s="1364">
        <f t="shared" ca="1" si="12"/>
        <v>317.26687999999996</v>
      </c>
      <c r="L56" s="1364" t="str">
        <f t="shared" ca="1" si="13"/>
        <v/>
      </c>
      <c r="M56" s="1364" t="str">
        <f t="shared" ca="1" si="14"/>
        <v/>
      </c>
      <c r="N56" s="13">
        <f t="shared" ca="1" si="18"/>
        <v>2.3119801651363805E-2</v>
      </c>
      <c r="O56" s="13">
        <f t="shared" ca="1" si="19"/>
        <v>132.71947843137252</v>
      </c>
      <c r="P56" s="1366">
        <f t="shared" ca="1" si="19"/>
        <v>272.1163843137254</v>
      </c>
      <c r="Q56" s="13">
        <f t="shared" ca="1" si="20"/>
        <v>9.2479206605455225E-3</v>
      </c>
      <c r="R56" s="13">
        <f t="shared" ca="1" si="21"/>
        <v>53.087791372549013</v>
      </c>
      <c r="S56" s="1366">
        <f t="shared" ca="1" si="21"/>
        <v>108.84655372549018</v>
      </c>
      <c r="U56" s="13" t="str">
        <f t="shared" ca="1" si="22"/>
        <v/>
      </c>
      <c r="V56" s="13" t="str">
        <f t="shared" ca="1" si="23"/>
        <v/>
      </c>
      <c r="W56" s="13" t="str">
        <f t="shared" ca="1" si="16"/>
        <v/>
      </c>
      <c r="Y56" s="13" t="str">
        <f t="shared" ca="1" si="24"/>
        <v/>
      </c>
      <c r="Z56" s="13" t="str">
        <f t="shared" ca="1" si="25"/>
        <v/>
      </c>
      <c r="AA56" s="13" t="str">
        <f t="shared" ca="1" si="17"/>
        <v/>
      </c>
    </row>
    <row r="57" spans="1:27" x14ac:dyDescent="0.25">
      <c r="A57" s="1363">
        <v>0.53</v>
      </c>
      <c r="B57" s="13">
        <f t="shared" si="4"/>
        <v>4.1799999999999997E-2</v>
      </c>
      <c r="C57" s="1364">
        <f t="shared" si="5"/>
        <v>77.94</v>
      </c>
      <c r="D57" s="1364">
        <f ca="1">B57*'Ввод исходных данных'!$G$285+C57+IF('Ввод исходных данных'!$D$159=0,7,10)</f>
        <v>318.88623999999993</v>
      </c>
      <c r="E57" s="1431" t="str">
        <f t="shared" ca="1" si="6"/>
        <v/>
      </c>
      <c r="F57" s="1364" t="str">
        <f t="shared" ca="1" si="7"/>
        <v/>
      </c>
      <c r="G57" s="1364" t="str">
        <f t="shared" ca="1" si="8"/>
        <v/>
      </c>
      <c r="H57" s="1364" t="str">
        <f t="shared" ca="1" si="9"/>
        <v/>
      </c>
      <c r="I57" s="1364" t="str">
        <f t="shared" ca="1" si="10"/>
        <v/>
      </c>
      <c r="J57" s="1364" t="str">
        <f t="shared" ca="1" si="11"/>
        <v/>
      </c>
      <c r="K57" s="1364">
        <f t="shared" ca="1" si="12"/>
        <v>318.88623999999993</v>
      </c>
      <c r="L57" s="1364" t="str">
        <f t="shared" ca="1" si="13"/>
        <v/>
      </c>
      <c r="M57" s="1364" t="str">
        <f t="shared" ca="1" si="14"/>
        <v/>
      </c>
      <c r="N57" s="13">
        <f t="shared" ca="1" si="18"/>
        <v>2.3119801651363805E-2</v>
      </c>
      <c r="O57" s="13">
        <f t="shared" ca="1" si="19"/>
        <v>132.71947843137252</v>
      </c>
      <c r="P57" s="1366">
        <f t="shared" ca="1" si="19"/>
        <v>272.1163843137254</v>
      </c>
      <c r="Q57" s="13">
        <f t="shared" ca="1" si="20"/>
        <v>9.2479206605455225E-3</v>
      </c>
      <c r="R57" s="13">
        <f t="shared" ca="1" si="21"/>
        <v>53.087791372549013</v>
      </c>
      <c r="S57" s="1366">
        <f t="shared" ca="1" si="21"/>
        <v>108.84655372549018</v>
      </c>
      <c r="U57" s="13">
        <f t="shared" ca="1" si="22"/>
        <v>4.1992595879406659E-2</v>
      </c>
      <c r="V57" s="13" t="str">
        <f t="shared" ca="1" si="23"/>
        <v/>
      </c>
      <c r="W57" s="13" t="str">
        <f t="shared" ca="1" si="16"/>
        <v/>
      </c>
      <c r="Y57" s="13" t="str">
        <f t="shared" ca="1" si="24"/>
        <v/>
      </c>
      <c r="Z57" s="13" t="str">
        <f t="shared" ca="1" si="25"/>
        <v/>
      </c>
      <c r="AA57" s="13" t="str">
        <f t="shared" ca="1" si="17"/>
        <v/>
      </c>
    </row>
    <row r="58" spans="1:27" x14ac:dyDescent="0.25">
      <c r="A58" s="1363">
        <v>0.54</v>
      </c>
      <c r="B58" s="13">
        <f t="shared" si="4"/>
        <v>4.2099999999999999E-2</v>
      </c>
      <c r="C58" s="1364">
        <f t="shared" si="5"/>
        <v>79.3</v>
      </c>
      <c r="D58" s="1364">
        <f ca="1">B58*'Ввод исходных данных'!$G$285+C58+IF('Ввод исходных данных'!$D$159=0,7,10)</f>
        <v>321.92527999999999</v>
      </c>
      <c r="E58" s="1431" t="str">
        <f t="shared" ca="1" si="6"/>
        <v/>
      </c>
      <c r="F58" s="1364" t="str">
        <f t="shared" ca="1" si="7"/>
        <v/>
      </c>
      <c r="G58" s="1364" t="str">
        <f t="shared" ca="1" si="8"/>
        <v/>
      </c>
      <c r="H58" s="1364" t="str">
        <f t="shared" ca="1" si="9"/>
        <v/>
      </c>
      <c r="I58" s="1364" t="str">
        <f t="shared" ca="1" si="10"/>
        <v/>
      </c>
      <c r="J58" s="1364" t="str">
        <f t="shared" ca="1" si="11"/>
        <v/>
      </c>
      <c r="K58" s="1364">
        <f t="shared" ca="1" si="12"/>
        <v>321.92527999999999</v>
      </c>
      <c r="L58" s="1364" t="str">
        <f t="shared" ca="1" si="13"/>
        <v/>
      </c>
      <c r="M58" s="1364" t="str">
        <f t="shared" ca="1" si="14"/>
        <v/>
      </c>
      <c r="N58" s="13">
        <f t="shared" ca="1" si="18"/>
        <v>2.3119801651363805E-2</v>
      </c>
      <c r="O58" s="13">
        <f t="shared" ca="1" si="19"/>
        <v>132.71947843137252</v>
      </c>
      <c r="P58" s="1366">
        <f t="shared" ca="1" si="19"/>
        <v>272.1163843137254</v>
      </c>
      <c r="Q58" s="13">
        <f t="shared" ca="1" si="20"/>
        <v>9.2479206605455225E-3</v>
      </c>
      <c r="R58" s="13">
        <f t="shared" ca="1" si="21"/>
        <v>53.087791372549013</v>
      </c>
      <c r="S58" s="1366">
        <f t="shared" ca="1" si="21"/>
        <v>108.84655372549018</v>
      </c>
      <c r="U58" s="13" t="str">
        <f t="shared" ca="1" si="22"/>
        <v/>
      </c>
      <c r="V58" s="13" t="str">
        <f t="shared" ca="1" si="23"/>
        <v/>
      </c>
      <c r="W58" s="13" t="str">
        <f t="shared" ca="1" si="16"/>
        <v/>
      </c>
      <c r="Y58" s="13" t="str">
        <f t="shared" ca="1" si="24"/>
        <v/>
      </c>
      <c r="Z58" s="13" t="str">
        <f t="shared" ca="1" si="25"/>
        <v/>
      </c>
      <c r="AA58" s="13" t="str">
        <f t="shared" ca="1" si="17"/>
        <v/>
      </c>
    </row>
    <row r="59" spans="1:27" x14ac:dyDescent="0.25">
      <c r="A59" s="1363">
        <v>0.55000000000000004</v>
      </c>
      <c r="B59" s="13">
        <f t="shared" si="4"/>
        <v>4.24E-2</v>
      </c>
      <c r="C59" s="1364">
        <f t="shared" si="5"/>
        <v>79.900000000000006</v>
      </c>
      <c r="D59" s="1364">
        <f ca="1">B59*'Ввод исходных данных'!$G$285+C59+IF('Ввод исходных данных'!$D$159=0,7,10)</f>
        <v>324.20431999999994</v>
      </c>
      <c r="E59" s="1431" t="str">
        <f t="shared" ca="1" si="6"/>
        <v/>
      </c>
      <c r="F59" s="1364" t="str">
        <f t="shared" ca="1" si="7"/>
        <v/>
      </c>
      <c r="G59" s="1364" t="str">
        <f t="shared" ca="1" si="8"/>
        <v/>
      </c>
      <c r="H59" s="1364" t="str">
        <f t="shared" ca="1" si="9"/>
        <v/>
      </c>
      <c r="I59" s="1364" t="str">
        <f t="shared" ca="1" si="10"/>
        <v/>
      </c>
      <c r="J59" s="1364" t="str">
        <f t="shared" ca="1" si="11"/>
        <v/>
      </c>
      <c r="K59" s="1364">
        <f t="shared" ca="1" si="12"/>
        <v>324.20431999999994</v>
      </c>
      <c r="L59" s="1364" t="str">
        <f t="shared" ca="1" si="13"/>
        <v/>
      </c>
      <c r="M59" s="1364" t="str">
        <f t="shared" ca="1" si="14"/>
        <v/>
      </c>
      <c r="N59" s="13">
        <f t="shared" ca="1" si="18"/>
        <v>2.3119801651363805E-2</v>
      </c>
      <c r="O59" s="13">
        <f t="shared" ca="1" si="19"/>
        <v>132.71947843137252</v>
      </c>
      <c r="P59" s="1366">
        <f t="shared" ca="1" si="19"/>
        <v>272.1163843137254</v>
      </c>
      <c r="Q59" s="13">
        <f t="shared" ca="1" si="20"/>
        <v>9.2479206605455225E-3</v>
      </c>
      <c r="R59" s="13">
        <f t="shared" ca="1" si="21"/>
        <v>53.087791372549013</v>
      </c>
      <c r="S59" s="1366">
        <f t="shared" ca="1" si="21"/>
        <v>108.84655372549018</v>
      </c>
      <c r="U59" s="13" t="str">
        <f t="shared" ca="1" si="22"/>
        <v/>
      </c>
      <c r="V59" s="13" t="str">
        <f t="shared" ca="1" si="23"/>
        <v/>
      </c>
      <c r="W59" s="13" t="str">
        <f t="shared" ca="1" si="16"/>
        <v/>
      </c>
      <c r="Y59" s="13" t="str">
        <f t="shared" ca="1" si="24"/>
        <v/>
      </c>
      <c r="Z59" s="13" t="str">
        <f t="shared" ca="1" si="25"/>
        <v/>
      </c>
      <c r="AA59" s="13" t="str">
        <f t="shared" ca="1" si="17"/>
        <v/>
      </c>
    </row>
    <row r="60" spans="1:27" x14ac:dyDescent="0.25">
      <c r="A60" s="1363">
        <v>0.56000000000000005</v>
      </c>
      <c r="B60" s="13">
        <f t="shared" si="4"/>
        <v>4.2599999999999999E-2</v>
      </c>
      <c r="C60" s="1364">
        <f t="shared" si="5"/>
        <v>80.290000000000006</v>
      </c>
      <c r="D60" s="1364">
        <f ca="1">B60*'Ввод исходных данных'!$G$285+C60+IF('Ввод исходных данных'!$D$159=0,7,10)</f>
        <v>325.71367999999995</v>
      </c>
      <c r="E60" s="1431" t="str">
        <f t="shared" ca="1" si="6"/>
        <v/>
      </c>
      <c r="F60" s="1364" t="str">
        <f t="shared" ca="1" si="7"/>
        <v/>
      </c>
      <c r="G60" s="1364" t="str">
        <f t="shared" ca="1" si="8"/>
        <v/>
      </c>
      <c r="H60" s="1364" t="str">
        <f t="shared" ca="1" si="9"/>
        <v/>
      </c>
      <c r="I60" s="1364" t="str">
        <f t="shared" ca="1" si="10"/>
        <v/>
      </c>
      <c r="J60" s="1364" t="str">
        <f t="shared" ca="1" si="11"/>
        <v/>
      </c>
      <c r="K60" s="1364">
        <f t="shared" ca="1" si="12"/>
        <v>325.71367999999995</v>
      </c>
      <c r="L60" s="1364" t="str">
        <f t="shared" ca="1" si="13"/>
        <v/>
      </c>
      <c r="M60" s="1364" t="str">
        <f t="shared" ca="1" si="14"/>
        <v/>
      </c>
      <c r="N60" s="13">
        <f t="shared" ca="1" si="18"/>
        <v>2.3119801651363805E-2</v>
      </c>
      <c r="O60" s="13">
        <f t="shared" ca="1" si="19"/>
        <v>132.71947843137252</v>
      </c>
      <c r="P60" s="1366">
        <f t="shared" ca="1" si="19"/>
        <v>272.1163843137254</v>
      </c>
      <c r="Q60" s="13">
        <f t="shared" ca="1" si="20"/>
        <v>9.2479206605455225E-3</v>
      </c>
      <c r="R60" s="13">
        <f t="shared" ca="1" si="21"/>
        <v>53.087791372549013</v>
      </c>
      <c r="S60" s="1366">
        <f t="shared" ca="1" si="21"/>
        <v>108.84655372549018</v>
      </c>
      <c r="U60" s="13" t="str">
        <f t="shared" ca="1" si="22"/>
        <v/>
      </c>
      <c r="V60" s="13" t="str">
        <f t="shared" ca="1" si="23"/>
        <v/>
      </c>
      <c r="W60" s="13" t="str">
        <f t="shared" ca="1" si="16"/>
        <v/>
      </c>
      <c r="Y60" s="13" t="str">
        <f t="shared" ca="1" si="24"/>
        <v/>
      </c>
      <c r="Z60" s="13" t="str">
        <f t="shared" ca="1" si="25"/>
        <v/>
      </c>
      <c r="AA60" s="13" t="str">
        <f t="shared" ca="1" si="17"/>
        <v/>
      </c>
    </row>
    <row r="61" spans="1:27" x14ac:dyDescent="0.25">
      <c r="A61" s="1363">
        <v>0.56999999999999995</v>
      </c>
      <c r="B61" s="13">
        <f t="shared" si="4"/>
        <v>4.2799999999999998E-2</v>
      </c>
      <c r="C61" s="1364">
        <f t="shared" si="5"/>
        <v>81.44</v>
      </c>
      <c r="D61" s="1364">
        <f ca="1">B61*'Ввод исходных данных'!$G$285+C61+IF('Ввод исходных данных'!$D$159=0,7,10)</f>
        <v>327.98303999999996</v>
      </c>
      <c r="E61" s="1431" t="str">
        <f t="shared" ca="1" si="6"/>
        <v/>
      </c>
      <c r="F61" s="1364" t="str">
        <f t="shared" ca="1" si="7"/>
        <v/>
      </c>
      <c r="G61" s="1364" t="str">
        <f t="shared" ca="1" si="8"/>
        <v/>
      </c>
      <c r="H61" s="1364" t="str">
        <f t="shared" ca="1" si="9"/>
        <v/>
      </c>
      <c r="I61" s="1364" t="str">
        <f t="shared" ca="1" si="10"/>
        <v/>
      </c>
      <c r="J61" s="1364" t="str">
        <f t="shared" ca="1" si="11"/>
        <v/>
      </c>
      <c r="K61" s="1364">
        <f t="shared" ca="1" si="12"/>
        <v>327.98303999999996</v>
      </c>
      <c r="L61" s="1364" t="str">
        <f t="shared" ca="1" si="13"/>
        <v/>
      </c>
      <c r="M61" s="1364" t="str">
        <f t="shared" ca="1" si="14"/>
        <v/>
      </c>
      <c r="N61" s="13">
        <f t="shared" ca="1" si="18"/>
        <v>2.3119801651363805E-2</v>
      </c>
      <c r="O61" s="13">
        <f t="shared" ca="1" si="19"/>
        <v>132.71947843137252</v>
      </c>
      <c r="P61" s="1366">
        <f t="shared" ca="1" si="19"/>
        <v>272.1163843137254</v>
      </c>
      <c r="Q61" s="13">
        <f t="shared" ca="1" si="20"/>
        <v>9.2479206605455225E-3</v>
      </c>
      <c r="R61" s="13">
        <f t="shared" ca="1" si="21"/>
        <v>53.087791372549013</v>
      </c>
      <c r="S61" s="1366">
        <f t="shared" ca="1" si="21"/>
        <v>108.84655372549018</v>
      </c>
      <c r="U61" s="13" t="str">
        <f t="shared" ca="1" si="22"/>
        <v/>
      </c>
      <c r="V61" s="13" t="str">
        <f t="shared" ca="1" si="23"/>
        <v/>
      </c>
      <c r="W61" s="13" t="str">
        <f t="shared" ca="1" si="16"/>
        <v/>
      </c>
      <c r="Y61" s="13" t="str">
        <f t="shared" ca="1" si="24"/>
        <v/>
      </c>
      <c r="Z61" s="13" t="str">
        <f t="shared" ca="1" si="25"/>
        <v/>
      </c>
      <c r="AA61" s="13" t="str">
        <f t="shared" ca="1" si="17"/>
        <v/>
      </c>
    </row>
    <row r="62" spans="1:27" x14ac:dyDescent="0.25">
      <c r="A62" s="1363">
        <v>0.57999999999999996</v>
      </c>
      <c r="B62" s="13">
        <f t="shared" si="4"/>
        <v>4.2999999999999997E-2</v>
      </c>
      <c r="C62" s="1364">
        <f t="shared" si="5"/>
        <v>82.31</v>
      </c>
      <c r="D62" s="1364">
        <f ca="1">B62*'Ввод исходных данных'!$G$285+C62+IF('Ввод исходных данных'!$D$159=0,7,10)</f>
        <v>329.97239999999999</v>
      </c>
      <c r="E62" s="1431" t="str">
        <f t="shared" ca="1" si="6"/>
        <v/>
      </c>
      <c r="F62" s="1364" t="str">
        <f t="shared" ca="1" si="7"/>
        <v/>
      </c>
      <c r="G62" s="1364" t="str">
        <f t="shared" ca="1" si="8"/>
        <v/>
      </c>
      <c r="H62" s="1364" t="str">
        <f t="shared" ca="1" si="9"/>
        <v/>
      </c>
      <c r="I62" s="1364" t="str">
        <f t="shared" ca="1" si="10"/>
        <v/>
      </c>
      <c r="J62" s="1364" t="str">
        <f t="shared" ca="1" si="11"/>
        <v/>
      </c>
      <c r="K62" s="1364">
        <f t="shared" ca="1" si="12"/>
        <v>329.97239999999999</v>
      </c>
      <c r="L62" s="1364" t="str">
        <f t="shared" ca="1" si="13"/>
        <v/>
      </c>
      <c r="M62" s="1364" t="str">
        <f t="shared" ca="1" si="14"/>
        <v/>
      </c>
      <c r="N62" s="13">
        <f t="shared" ca="1" si="18"/>
        <v>2.3119801651363805E-2</v>
      </c>
      <c r="O62" s="13">
        <f t="shared" ca="1" si="19"/>
        <v>132.71947843137252</v>
      </c>
      <c r="P62" s="1366">
        <f t="shared" ca="1" si="19"/>
        <v>272.1163843137254</v>
      </c>
      <c r="Q62" s="13">
        <f t="shared" ca="1" si="20"/>
        <v>9.2479206605455225E-3</v>
      </c>
      <c r="R62" s="13">
        <f t="shared" ca="1" si="21"/>
        <v>53.087791372549013</v>
      </c>
      <c r="S62" s="1366">
        <f t="shared" ca="1" si="21"/>
        <v>108.84655372549018</v>
      </c>
      <c r="U62" s="13" t="str">
        <f t="shared" ca="1" si="22"/>
        <v/>
      </c>
      <c r="V62" s="13" t="str">
        <f t="shared" ca="1" si="23"/>
        <v/>
      </c>
      <c r="W62" s="13" t="str">
        <f t="shared" ca="1" si="16"/>
        <v/>
      </c>
      <c r="Y62" s="13" t="str">
        <f t="shared" ca="1" si="24"/>
        <v/>
      </c>
      <c r="Z62" s="13" t="str">
        <f t="shared" ca="1" si="25"/>
        <v/>
      </c>
      <c r="AA62" s="13" t="str">
        <f t="shared" ca="1" si="17"/>
        <v/>
      </c>
    </row>
    <row r="63" spans="1:27" x14ac:dyDescent="0.25">
      <c r="A63" s="1363">
        <v>0.59</v>
      </c>
      <c r="B63" s="13">
        <f t="shared" si="4"/>
        <v>4.3200000000000002E-2</v>
      </c>
      <c r="C63" s="1364">
        <f t="shared" si="5"/>
        <v>83.58</v>
      </c>
      <c r="D63" s="1364">
        <f ca="1">B63*'Ввод исходных данных'!$G$285+C63+IF('Ввод исходных данных'!$D$159=0,7,10)</f>
        <v>332.36176</v>
      </c>
      <c r="E63" s="1431" t="str">
        <f t="shared" ca="1" si="6"/>
        <v/>
      </c>
      <c r="F63" s="1364" t="str">
        <f t="shared" ca="1" si="7"/>
        <v/>
      </c>
      <c r="G63" s="1364" t="str">
        <f t="shared" ca="1" si="8"/>
        <v/>
      </c>
      <c r="H63" s="1364" t="str">
        <f t="shared" ca="1" si="9"/>
        <v/>
      </c>
      <c r="I63" s="1364" t="str">
        <f t="shared" ca="1" si="10"/>
        <v/>
      </c>
      <c r="J63" s="1364" t="str">
        <f t="shared" ca="1" si="11"/>
        <v/>
      </c>
      <c r="K63" s="1364">
        <f t="shared" ca="1" si="12"/>
        <v>332.36176</v>
      </c>
      <c r="L63" s="1364" t="str">
        <f t="shared" ca="1" si="13"/>
        <v/>
      </c>
      <c r="M63" s="1364" t="str">
        <f t="shared" ca="1" si="14"/>
        <v/>
      </c>
      <c r="N63" s="13">
        <f t="shared" ca="1" si="18"/>
        <v>2.3119801651363805E-2</v>
      </c>
      <c r="O63" s="13">
        <f t="shared" ca="1" si="19"/>
        <v>132.71947843137252</v>
      </c>
      <c r="P63" s="1366">
        <f t="shared" ca="1" si="19"/>
        <v>272.1163843137254</v>
      </c>
      <c r="Q63" s="13">
        <f t="shared" ca="1" si="20"/>
        <v>9.2479206605455225E-3</v>
      </c>
      <c r="R63" s="13">
        <f t="shared" ca="1" si="21"/>
        <v>53.087791372549013</v>
      </c>
      <c r="S63" s="1366">
        <f t="shared" ca="1" si="21"/>
        <v>108.84655372549018</v>
      </c>
      <c r="U63" s="13" t="str">
        <f t="shared" ca="1" si="22"/>
        <v/>
      </c>
      <c r="V63" s="13" t="str">
        <f t="shared" ca="1" si="23"/>
        <v/>
      </c>
      <c r="W63" s="13" t="str">
        <f t="shared" ca="1" si="16"/>
        <v/>
      </c>
      <c r="Y63" s="13" t="str">
        <f t="shared" ca="1" si="24"/>
        <v/>
      </c>
      <c r="Z63" s="13" t="str">
        <f t="shared" ca="1" si="25"/>
        <v/>
      </c>
      <c r="AA63" s="13" t="str">
        <f t="shared" ca="1" si="17"/>
        <v/>
      </c>
    </row>
    <row r="64" spans="1:27" x14ac:dyDescent="0.25">
      <c r="A64" s="1363">
        <v>0.6</v>
      </c>
      <c r="B64" s="13">
        <f t="shared" si="4"/>
        <v>4.3299999999999998E-2</v>
      </c>
      <c r="C64" s="1364">
        <f t="shared" si="5"/>
        <v>84.68</v>
      </c>
      <c r="D64" s="1364">
        <f ca="1">B64*'Ввод исходных данных'!$G$285+C64+IF('Ввод исходных данных'!$D$159=0,7,10)</f>
        <v>334.02143999999998</v>
      </c>
      <c r="E64" s="1431" t="str">
        <f t="shared" ca="1" si="6"/>
        <v/>
      </c>
      <c r="F64" s="1364" t="str">
        <f t="shared" ca="1" si="7"/>
        <v/>
      </c>
      <c r="G64" s="1364" t="str">
        <f t="shared" ca="1" si="8"/>
        <v/>
      </c>
      <c r="H64" s="1364" t="str">
        <f t="shared" ca="1" si="9"/>
        <v/>
      </c>
      <c r="I64" s="1364" t="str">
        <f t="shared" ca="1" si="10"/>
        <v/>
      </c>
      <c r="J64" s="1364" t="str">
        <f t="shared" ca="1" si="11"/>
        <v/>
      </c>
      <c r="K64" s="1364">
        <f t="shared" ca="1" si="12"/>
        <v>334.02143999999998</v>
      </c>
      <c r="L64" s="1364" t="str">
        <f t="shared" ca="1" si="13"/>
        <v/>
      </c>
      <c r="M64" s="1364" t="str">
        <f t="shared" ca="1" si="14"/>
        <v/>
      </c>
      <c r="N64" s="13">
        <f t="shared" ca="1" si="18"/>
        <v>2.3119801651363805E-2</v>
      </c>
      <c r="O64" s="13">
        <f t="shared" ca="1" si="19"/>
        <v>132.71947843137252</v>
      </c>
      <c r="P64" s="1366">
        <f t="shared" ca="1" si="19"/>
        <v>272.1163843137254</v>
      </c>
      <c r="Q64" s="13">
        <f t="shared" ca="1" si="20"/>
        <v>9.2479206605455225E-3</v>
      </c>
      <c r="R64" s="13">
        <f t="shared" ca="1" si="21"/>
        <v>53.087791372549013</v>
      </c>
      <c r="S64" s="1366">
        <f t="shared" ca="1" si="21"/>
        <v>108.84655372549018</v>
      </c>
      <c r="U64" s="13" t="str">
        <f t="shared" ca="1" si="22"/>
        <v/>
      </c>
      <c r="V64" s="13" t="str">
        <f t="shared" ca="1" si="23"/>
        <v/>
      </c>
      <c r="W64" s="13" t="str">
        <f t="shared" ca="1" si="16"/>
        <v/>
      </c>
      <c r="Y64" s="13" t="str">
        <f t="shared" ca="1" si="24"/>
        <v/>
      </c>
      <c r="Z64" s="13" t="str">
        <f t="shared" ca="1" si="25"/>
        <v/>
      </c>
      <c r="AA64" s="13" t="str">
        <f t="shared" ca="1" si="17"/>
        <v/>
      </c>
    </row>
    <row r="65" spans="1:27" x14ac:dyDescent="0.25">
      <c r="A65" s="1363">
        <v>0.61</v>
      </c>
      <c r="B65" s="13">
        <f t="shared" si="4"/>
        <v>4.36E-2</v>
      </c>
      <c r="C65" s="1364">
        <f t="shared" si="5"/>
        <v>85.33</v>
      </c>
      <c r="D65" s="1364">
        <f ca="1">B65*'Ввод исходных данных'!$G$285+C65+IF('Ввод исходных данных'!$D$159=0,7,10)</f>
        <v>336.35047999999995</v>
      </c>
      <c r="E65" s="1431" t="str">
        <f t="shared" ca="1" si="6"/>
        <v/>
      </c>
      <c r="F65" s="1364" t="str">
        <f t="shared" ca="1" si="7"/>
        <v/>
      </c>
      <c r="G65" s="1364" t="str">
        <f t="shared" ca="1" si="8"/>
        <v/>
      </c>
      <c r="H65" s="1364" t="str">
        <f t="shared" ca="1" si="9"/>
        <v/>
      </c>
      <c r="I65" s="1364" t="str">
        <f t="shared" ca="1" si="10"/>
        <v/>
      </c>
      <c r="J65" s="1364" t="str">
        <f t="shared" ca="1" si="11"/>
        <v/>
      </c>
      <c r="K65" s="1364">
        <f t="shared" ca="1" si="12"/>
        <v>336.35047999999995</v>
      </c>
      <c r="L65" s="1364" t="str">
        <f t="shared" ca="1" si="13"/>
        <v/>
      </c>
      <c r="M65" s="1364" t="str">
        <f t="shared" ca="1" si="14"/>
        <v/>
      </c>
      <c r="N65" s="13">
        <f t="shared" ca="1" si="18"/>
        <v>2.3119801651363805E-2</v>
      </c>
      <c r="O65" s="13">
        <f t="shared" ca="1" si="19"/>
        <v>132.71947843137252</v>
      </c>
      <c r="P65" s="1366">
        <f t="shared" ca="1" si="19"/>
        <v>272.1163843137254</v>
      </c>
      <c r="Q65" s="13">
        <f t="shared" ca="1" si="20"/>
        <v>9.2479206605455225E-3</v>
      </c>
      <c r="R65" s="13">
        <f t="shared" ca="1" si="21"/>
        <v>53.087791372549013</v>
      </c>
      <c r="S65" s="1366">
        <f t="shared" ca="1" si="21"/>
        <v>108.84655372549018</v>
      </c>
      <c r="U65" s="13" t="str">
        <f t="shared" ca="1" si="22"/>
        <v/>
      </c>
      <c r="V65" s="13" t="str">
        <f t="shared" ca="1" si="23"/>
        <v/>
      </c>
      <c r="W65" s="13" t="str">
        <f t="shared" ca="1" si="16"/>
        <v/>
      </c>
      <c r="Y65" s="13" t="str">
        <f t="shared" ca="1" si="24"/>
        <v/>
      </c>
      <c r="Z65" s="13" t="str">
        <f t="shared" ca="1" si="25"/>
        <v/>
      </c>
      <c r="AA65" s="13" t="str">
        <f t="shared" ca="1" si="17"/>
        <v/>
      </c>
    </row>
    <row r="66" spans="1:27" x14ac:dyDescent="0.25">
      <c r="A66" s="1363">
        <v>0.62</v>
      </c>
      <c r="B66" s="13">
        <f t="shared" si="4"/>
        <v>4.3799999999999999E-2</v>
      </c>
      <c r="C66" s="1364">
        <f t="shared" si="5"/>
        <v>86.8</v>
      </c>
      <c r="D66" s="1364">
        <f ca="1">B66*'Ввод исходных данных'!$G$285+C66+IF('Ввод исходных данных'!$D$159=0,7,10)</f>
        <v>338.93983999999995</v>
      </c>
      <c r="E66" s="1431" t="str">
        <f t="shared" ca="1" si="6"/>
        <v/>
      </c>
      <c r="F66" s="1364" t="str">
        <f t="shared" ca="1" si="7"/>
        <v/>
      </c>
      <c r="G66" s="1364" t="str">
        <f t="shared" ca="1" si="8"/>
        <v/>
      </c>
      <c r="H66" s="1364" t="str">
        <f t="shared" ca="1" si="9"/>
        <v/>
      </c>
      <c r="I66" s="1364" t="str">
        <f t="shared" ca="1" si="10"/>
        <v/>
      </c>
      <c r="J66" s="1364" t="str">
        <f t="shared" ca="1" si="11"/>
        <v/>
      </c>
      <c r="K66" s="1364">
        <f t="shared" ca="1" si="12"/>
        <v>338.93983999999995</v>
      </c>
      <c r="L66" s="1364" t="str">
        <f t="shared" ca="1" si="13"/>
        <v/>
      </c>
      <c r="M66" s="1364" t="str">
        <f t="shared" ca="1" si="14"/>
        <v/>
      </c>
      <c r="N66" s="13">
        <f t="shared" ca="1" si="18"/>
        <v>2.3119801651363805E-2</v>
      </c>
      <c r="O66" s="13">
        <f t="shared" ca="1" si="19"/>
        <v>132.71947843137252</v>
      </c>
      <c r="P66" s="1366">
        <f t="shared" ca="1" si="19"/>
        <v>272.1163843137254</v>
      </c>
      <c r="Q66" s="13">
        <f t="shared" ca="1" si="20"/>
        <v>9.2479206605455225E-3</v>
      </c>
      <c r="R66" s="13">
        <f t="shared" ca="1" si="21"/>
        <v>53.087791372549013</v>
      </c>
      <c r="S66" s="1366">
        <f t="shared" ca="1" si="21"/>
        <v>108.84655372549018</v>
      </c>
      <c r="U66" s="13" t="str">
        <f t="shared" ca="1" si="22"/>
        <v/>
      </c>
      <c r="V66" s="13" t="str">
        <f t="shared" ca="1" si="23"/>
        <v/>
      </c>
      <c r="W66" s="13" t="str">
        <f t="shared" ca="1" si="16"/>
        <v/>
      </c>
      <c r="Y66" s="13" t="str">
        <f t="shared" ca="1" si="24"/>
        <v/>
      </c>
      <c r="Z66" s="13" t="str">
        <f t="shared" ca="1" si="25"/>
        <v/>
      </c>
      <c r="AA66" s="13" t="str">
        <f t="shared" ca="1" si="17"/>
        <v/>
      </c>
    </row>
    <row r="67" spans="1:27" x14ac:dyDescent="0.25">
      <c r="A67" s="1363">
        <v>0.63</v>
      </c>
      <c r="B67" s="13">
        <f t="shared" si="4"/>
        <v>4.3999999999999997E-2</v>
      </c>
      <c r="C67" s="1364">
        <f t="shared" si="5"/>
        <v>87.41</v>
      </c>
      <c r="D67" s="1364">
        <f ca="1">B67*'Ввод исходных данных'!$G$285+C67+IF('Ввод исходных данных'!$D$159=0,7,10)</f>
        <v>340.66919999999993</v>
      </c>
      <c r="E67" s="1431" t="str">
        <f t="shared" ca="1" si="6"/>
        <v/>
      </c>
      <c r="F67" s="1364" t="str">
        <f t="shared" ca="1" si="7"/>
        <v/>
      </c>
      <c r="G67" s="1364" t="str">
        <f t="shared" ca="1" si="8"/>
        <v/>
      </c>
      <c r="H67" s="1364" t="str">
        <f t="shared" ca="1" si="9"/>
        <v/>
      </c>
      <c r="I67" s="1364" t="str">
        <f t="shared" ca="1" si="10"/>
        <v/>
      </c>
      <c r="J67" s="1364" t="str">
        <f t="shared" ca="1" si="11"/>
        <v/>
      </c>
      <c r="K67" s="1364" t="str">
        <f t="shared" ca="1" si="12"/>
        <v/>
      </c>
      <c r="L67" s="1364">
        <f t="shared" ca="1" si="13"/>
        <v>340.66919999999993</v>
      </c>
      <c r="M67" s="1364" t="str">
        <f t="shared" ca="1" si="14"/>
        <v/>
      </c>
      <c r="N67" s="13">
        <f t="shared" ca="1" si="18"/>
        <v>2.3119801651363805E-2</v>
      </c>
      <c r="O67" s="13">
        <f t="shared" ca="1" si="19"/>
        <v>132.71947843137252</v>
      </c>
      <c r="P67" s="1366">
        <f t="shared" ca="1" si="19"/>
        <v>272.1163843137254</v>
      </c>
      <c r="Q67" s="13">
        <f t="shared" ca="1" si="20"/>
        <v>9.2479206605455225E-3</v>
      </c>
      <c r="R67" s="13">
        <f t="shared" ca="1" si="21"/>
        <v>53.087791372549013</v>
      </c>
      <c r="S67" s="1366">
        <f t="shared" ca="1" si="21"/>
        <v>108.84655372549018</v>
      </c>
      <c r="U67" s="13" t="str">
        <f t="shared" ca="1" si="22"/>
        <v/>
      </c>
      <c r="V67" s="13" t="str">
        <f t="shared" ca="1" si="23"/>
        <v/>
      </c>
      <c r="W67" s="13" t="str">
        <f t="shared" ca="1" si="16"/>
        <v/>
      </c>
      <c r="Y67" s="13" t="str">
        <f t="shared" ca="1" si="24"/>
        <v/>
      </c>
      <c r="Z67" s="13" t="str">
        <f t="shared" ca="1" si="25"/>
        <v/>
      </c>
      <c r="AA67" s="13" t="str">
        <f t="shared" ca="1" si="17"/>
        <v/>
      </c>
    </row>
    <row r="68" spans="1:27" x14ac:dyDescent="0.25">
      <c r="A68" s="1363">
        <v>0.64</v>
      </c>
      <c r="B68" s="13">
        <f t="shared" si="4"/>
        <v>4.4299999999999999E-2</v>
      </c>
      <c r="C68" s="1364">
        <f t="shared" si="5"/>
        <v>88.18</v>
      </c>
      <c r="D68" s="1364">
        <f ca="1">B68*'Ввод исходных данных'!$G$285+C68+IF('Ввод исходных данных'!$D$159=0,7,10)</f>
        <v>343.11823999999996</v>
      </c>
      <c r="E68" s="1431" t="str">
        <f t="shared" ca="1" si="6"/>
        <v/>
      </c>
      <c r="F68" s="1364" t="str">
        <f t="shared" ca="1" si="7"/>
        <v/>
      </c>
      <c r="G68" s="1364" t="str">
        <f t="shared" ca="1" si="8"/>
        <v/>
      </c>
      <c r="H68" s="1364" t="str">
        <f t="shared" ca="1" si="9"/>
        <v/>
      </c>
      <c r="I68" s="1364" t="str">
        <f t="shared" ca="1" si="10"/>
        <v/>
      </c>
      <c r="J68" s="1364" t="str">
        <f t="shared" ca="1" si="11"/>
        <v/>
      </c>
      <c r="K68" s="1364" t="str">
        <f t="shared" ca="1" si="12"/>
        <v/>
      </c>
      <c r="L68" s="1364">
        <f t="shared" ca="1" si="13"/>
        <v>343.11823999999996</v>
      </c>
      <c r="M68" s="1364" t="str">
        <f t="shared" ca="1" si="14"/>
        <v/>
      </c>
      <c r="N68" s="13">
        <f t="shared" ca="1" si="18"/>
        <v>2.3119801651363805E-2</v>
      </c>
      <c r="O68" s="13">
        <f t="shared" ca="1" si="19"/>
        <v>132.71947843137252</v>
      </c>
      <c r="P68" s="1366">
        <f t="shared" ca="1" si="19"/>
        <v>272.1163843137254</v>
      </c>
      <c r="Q68" s="13">
        <f t="shared" ca="1" si="20"/>
        <v>9.2479206605455225E-3</v>
      </c>
      <c r="R68" s="13">
        <f t="shared" ca="1" si="21"/>
        <v>53.087791372549013</v>
      </c>
      <c r="S68" s="1366">
        <f t="shared" ca="1" si="21"/>
        <v>108.84655372549018</v>
      </c>
      <c r="U68" s="13" t="str">
        <f t="shared" ca="1" si="22"/>
        <v/>
      </c>
      <c r="V68" s="13" t="str">
        <f t="shared" ca="1" si="23"/>
        <v/>
      </c>
      <c r="W68" s="13" t="str">
        <f t="shared" ca="1" si="16"/>
        <v/>
      </c>
      <c r="Y68" s="13" t="str">
        <f t="shared" ca="1" si="24"/>
        <v/>
      </c>
      <c r="Z68" s="13" t="str">
        <f t="shared" ca="1" si="25"/>
        <v/>
      </c>
      <c r="AA68" s="13" t="str">
        <f t="shared" ca="1" si="17"/>
        <v/>
      </c>
    </row>
    <row r="69" spans="1:27" x14ac:dyDescent="0.25">
      <c r="A69" s="1363">
        <v>0.65</v>
      </c>
      <c r="B69" s="13">
        <f t="shared" si="4"/>
        <v>4.4499999999999998E-2</v>
      </c>
      <c r="C69" s="1364">
        <f t="shared" si="5"/>
        <v>89.28</v>
      </c>
      <c r="D69" s="1364">
        <f ca="1">B69*'Ввод исходных данных'!$G$285+C69+IF('Ввод исходных данных'!$D$159=0,7,10)</f>
        <v>345.33759999999995</v>
      </c>
      <c r="E69" s="1431" t="str">
        <f t="shared" ca="1" si="6"/>
        <v/>
      </c>
      <c r="F69" s="1364" t="str">
        <f t="shared" ca="1" si="7"/>
        <v/>
      </c>
      <c r="G69" s="1364" t="str">
        <f t="shared" ca="1" si="8"/>
        <v/>
      </c>
      <c r="H69" s="1364" t="str">
        <f t="shared" ca="1" si="9"/>
        <v/>
      </c>
      <c r="I69" s="1364" t="str">
        <f t="shared" ca="1" si="10"/>
        <v/>
      </c>
      <c r="J69" s="1364" t="str">
        <f t="shared" ca="1" si="11"/>
        <v/>
      </c>
      <c r="K69" s="1364" t="str">
        <f t="shared" ca="1" si="12"/>
        <v/>
      </c>
      <c r="L69" s="1364">
        <f t="shared" ca="1" si="13"/>
        <v>345.33759999999995</v>
      </c>
      <c r="M69" s="1364" t="str">
        <f t="shared" ca="1" si="14"/>
        <v/>
      </c>
      <c r="N69" s="13">
        <f t="shared" ca="1" si="18"/>
        <v>2.3119801651363805E-2</v>
      </c>
      <c r="O69" s="13">
        <f t="shared" ca="1" si="19"/>
        <v>132.71947843137252</v>
      </c>
      <c r="P69" s="1366">
        <f t="shared" ca="1" si="19"/>
        <v>272.1163843137254</v>
      </c>
      <c r="Q69" s="13">
        <f t="shared" ca="1" si="20"/>
        <v>9.2479206605455225E-3</v>
      </c>
      <c r="R69" s="13">
        <f t="shared" ca="1" si="21"/>
        <v>53.087791372549013</v>
      </c>
      <c r="S69" s="1366">
        <f t="shared" ca="1" si="21"/>
        <v>108.84655372549018</v>
      </c>
      <c r="U69" s="13" t="str">
        <f t="shared" ref="U69:U103" ca="1" si="26">IF(AND($U$3&gt;=B69,$U$3&lt;B70),$U$3,"")</f>
        <v/>
      </c>
      <c r="V69" s="13" t="str">
        <f t="shared" ref="V69:V103" ca="1"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3">
        <v>0.66</v>
      </c>
      <c r="B70" s="13">
        <f t="shared" ref="B70:B104" si="30">$B$106*B173+$C$106*C173+$D$106*D173+$E$106*E173+$F$106*F173+$G$106*G173+$H$106*H173+$I$106*I173+$J$106*J173+$K$106*K173+$L$106*L173+$M$106*M173</f>
        <v>4.4699999999999997E-2</v>
      </c>
      <c r="C70" s="1364">
        <f t="shared" ref="C70:C104" si="31">$B$106*B278+$C$106*C278+$D$106*D278+$E$106*E278+$F$106*F278+$G$106*G278+$H$106*H278+$I$106*I278+$J$106*J278+$K$106*K278+$L$106*L278+$M$106*M278</f>
        <v>89.76</v>
      </c>
      <c r="D70" s="1364">
        <f ca="1">B70*'Ввод исходных данных'!$G$285+C70+IF('Ввод исходных данных'!$D$159=0,7,10)</f>
        <v>346.93695999999994</v>
      </c>
      <c r="E70" s="1431" t="str">
        <f t="shared" ref="E70:E104" ca="1" si="32">IF(D70&lt;=$N$423,D70,"")</f>
        <v/>
      </c>
      <c r="F70" s="1364" t="str">
        <f t="shared" ref="F70:F104" ca="1" si="33">IF(AND($D70&lt;=$N$424,$D70&gt;$N$423),$D70,"")</f>
        <v/>
      </c>
      <c r="G70" s="1364" t="str">
        <f t="shared" ref="G70:G104" ca="1" si="34">IF(AND($D70&lt;=$N$425,$D70&gt;$N$424),$D70,"")</f>
        <v/>
      </c>
      <c r="H70" s="1364" t="str">
        <f t="shared" ref="H70:H104" ca="1" si="35">IF(AND($D70&lt;=$N$426,$D70&gt;$N$425),$D70,"")</f>
        <v/>
      </c>
      <c r="I70" s="1364" t="str">
        <f t="shared" ref="I70:I104" ca="1" si="36">IF(AND($D70&lt;=$N$427,$D70&gt;$N$426),$D70,"")</f>
        <v/>
      </c>
      <c r="J70" s="1364" t="str">
        <f t="shared" ref="J70:J104" ca="1" si="37">IF(AND($D70&lt;=$N$428,$D70&gt;$N$427),$D70,"")</f>
        <v/>
      </c>
      <c r="K70" s="1364" t="str">
        <f t="shared" ref="K70:K104" ca="1" si="38">IF(AND($D70&lt;=$N$429,$D70&gt;$N$428),$D70,"")</f>
        <v/>
      </c>
      <c r="L70" s="1364">
        <f t="shared" ref="L70:L104" ca="1" si="39">IF(AND($D70&lt;=$N$430,$D70&gt;$N$429),$D70,"")</f>
        <v>346.93695999999994</v>
      </c>
      <c r="M70" s="1364" t="str">
        <f t="shared" ref="M70:M104" ca="1" si="40">IF(AND($D70&gt;$N$430),$D70,"")</f>
        <v/>
      </c>
      <c r="N70" s="13">
        <f t="shared" ca="1" si="18"/>
        <v>2.3119801651363805E-2</v>
      </c>
      <c r="O70" s="13">
        <f t="shared" ca="1" si="19"/>
        <v>132.71947843137252</v>
      </c>
      <c r="P70" s="1366">
        <f t="shared" ca="1" si="19"/>
        <v>272.1163843137254</v>
      </c>
      <c r="Q70" s="13">
        <f t="shared" ca="1" si="20"/>
        <v>9.2479206605455225E-3</v>
      </c>
      <c r="R70" s="13">
        <f t="shared" ca="1" si="21"/>
        <v>53.087791372549013</v>
      </c>
      <c r="S70" s="1366">
        <f t="shared" ca="1" si="21"/>
        <v>108.84655372549018</v>
      </c>
      <c r="U70" s="13" t="str">
        <f t="shared" ca="1" si="26"/>
        <v/>
      </c>
      <c r="V70" s="13" t="str">
        <f t="shared" ca="1"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3">
        <v>0.67</v>
      </c>
      <c r="B71" s="13">
        <f t="shared" si="30"/>
        <v>4.4900000000000002E-2</v>
      </c>
      <c r="C71" s="1364">
        <f t="shared" si="31"/>
        <v>90.28</v>
      </c>
      <c r="D71" s="1364">
        <f ca="1">B71*'Ввод исходных данных'!$G$285+C71+IF('Ввод исходных данных'!$D$159=0,7,10)</f>
        <v>348.57632000000001</v>
      </c>
      <c r="E71" s="1431" t="str">
        <f t="shared" ca="1" si="32"/>
        <v/>
      </c>
      <c r="F71" s="1364" t="str">
        <f t="shared" ca="1" si="33"/>
        <v/>
      </c>
      <c r="G71" s="1364" t="str">
        <f t="shared" ca="1" si="34"/>
        <v/>
      </c>
      <c r="H71" s="1364" t="str">
        <f t="shared" ca="1" si="35"/>
        <v/>
      </c>
      <c r="I71" s="1364" t="str">
        <f t="shared" ca="1" si="36"/>
        <v/>
      </c>
      <c r="J71" s="1364" t="str">
        <f t="shared" ca="1" si="37"/>
        <v/>
      </c>
      <c r="K71" s="1364" t="str">
        <f t="shared" ca="1" si="38"/>
        <v/>
      </c>
      <c r="L71" s="1364">
        <f t="shared" ca="1" si="39"/>
        <v>348.57632000000001</v>
      </c>
      <c r="M71" s="1364" t="str">
        <f t="shared" ca="1" si="40"/>
        <v/>
      </c>
      <c r="N71" s="13">
        <f t="shared" ref="N71:N104" ca="1" si="43">N70</f>
        <v>2.3119801651363805E-2</v>
      </c>
      <c r="O71" s="13">
        <f t="shared" ref="O71:P104" ca="1" si="44">O70</f>
        <v>132.71947843137252</v>
      </c>
      <c r="P71" s="1366">
        <f t="shared" ca="1" si="44"/>
        <v>272.1163843137254</v>
      </c>
      <c r="Q71" s="13">
        <f t="shared" ref="Q71:Q104" ca="1" si="45">Q70</f>
        <v>9.2479206605455225E-3</v>
      </c>
      <c r="R71" s="13">
        <f t="shared" ref="R71:S104" ca="1" si="46">R70</f>
        <v>53.087791372549013</v>
      </c>
      <c r="S71" s="1366">
        <f t="shared" ca="1" si="46"/>
        <v>108.84655372549018</v>
      </c>
      <c r="U71" s="13" t="str">
        <f t="shared" ca="1" si="26"/>
        <v/>
      </c>
      <c r="V71" s="13" t="str">
        <f t="shared" ca="1" si="27"/>
        <v/>
      </c>
      <c r="W71" s="13">
        <f t="shared" ca="1" si="41"/>
        <v>349.60844029388335</v>
      </c>
      <c r="Y71" s="13" t="str">
        <f t="shared" ca="1" si="28"/>
        <v/>
      </c>
      <c r="Z71" s="13" t="str">
        <f t="shared" ca="1" si="29"/>
        <v/>
      </c>
      <c r="AA71" s="13" t="str">
        <f t="shared" ca="1" si="42"/>
        <v/>
      </c>
    </row>
    <row r="72" spans="1:27" x14ac:dyDescent="0.25">
      <c r="A72" s="1363">
        <v>0.68</v>
      </c>
      <c r="B72" s="13">
        <f t="shared" si="30"/>
        <v>4.53E-2</v>
      </c>
      <c r="C72" s="1364">
        <f t="shared" si="31"/>
        <v>90.82</v>
      </c>
      <c r="D72" s="1364">
        <f ca="1">B72*'Ввод исходных данных'!$G$285+C72+IF('Ввод исходных данных'!$D$159=0,7,10)</f>
        <v>351.35503999999997</v>
      </c>
      <c r="E72" s="1431" t="str">
        <f t="shared" ca="1" si="32"/>
        <v/>
      </c>
      <c r="F72" s="1364" t="str">
        <f t="shared" ca="1" si="33"/>
        <v/>
      </c>
      <c r="G72" s="1364" t="str">
        <f t="shared" ca="1" si="34"/>
        <v/>
      </c>
      <c r="H72" s="1364" t="str">
        <f t="shared" ca="1" si="35"/>
        <v/>
      </c>
      <c r="I72" s="1364" t="str">
        <f t="shared" ca="1" si="36"/>
        <v/>
      </c>
      <c r="J72" s="1364" t="str">
        <f t="shared" ca="1" si="37"/>
        <v/>
      </c>
      <c r="K72" s="1364" t="str">
        <f t="shared" ca="1" si="38"/>
        <v/>
      </c>
      <c r="L72" s="1364">
        <f t="shared" ca="1" si="39"/>
        <v>351.35503999999997</v>
      </c>
      <c r="M72" s="1364" t="str">
        <f t="shared" ca="1" si="40"/>
        <v/>
      </c>
      <c r="N72" s="13">
        <f t="shared" ca="1" si="43"/>
        <v>2.3119801651363805E-2</v>
      </c>
      <c r="O72" s="13">
        <f t="shared" ca="1" si="44"/>
        <v>132.71947843137252</v>
      </c>
      <c r="P72" s="1366">
        <f t="shared" ca="1" si="44"/>
        <v>272.1163843137254</v>
      </c>
      <c r="Q72" s="13">
        <f t="shared" ca="1" si="45"/>
        <v>9.2479206605455225E-3</v>
      </c>
      <c r="R72" s="13">
        <f t="shared" ca="1" si="46"/>
        <v>53.087791372549013</v>
      </c>
      <c r="S72" s="1366">
        <f t="shared" ca="1" si="46"/>
        <v>108.84655372549018</v>
      </c>
      <c r="U72" s="13" t="str">
        <f t="shared" ca="1" si="26"/>
        <v/>
      </c>
      <c r="V72" s="13" t="str">
        <f t="shared" ca="1" si="27"/>
        <v/>
      </c>
      <c r="W72" s="13" t="str">
        <f t="shared" ca="1" si="41"/>
        <v/>
      </c>
      <c r="Y72" s="13" t="str">
        <f t="shared" ca="1" si="28"/>
        <v/>
      </c>
      <c r="Z72" s="13" t="str">
        <f t="shared" ca="1" si="29"/>
        <v/>
      </c>
      <c r="AA72" s="13" t="str">
        <f t="shared" ca="1" si="42"/>
        <v/>
      </c>
    </row>
    <row r="73" spans="1:27" x14ac:dyDescent="0.25">
      <c r="A73" s="1363">
        <v>0.69</v>
      </c>
      <c r="B73" s="13">
        <f t="shared" si="30"/>
        <v>4.5499999999999999E-2</v>
      </c>
      <c r="C73" s="1364">
        <f t="shared" si="31"/>
        <v>91.79</v>
      </c>
      <c r="D73" s="1364">
        <f ca="1">B73*'Ввод исходных данных'!$G$285+C73+IF('Ввод исходных данных'!$D$159=0,7,10)</f>
        <v>353.44439999999997</v>
      </c>
      <c r="E73" s="1431" t="str">
        <f t="shared" ca="1" si="32"/>
        <v/>
      </c>
      <c r="F73" s="1364" t="str">
        <f t="shared" ca="1" si="33"/>
        <v/>
      </c>
      <c r="G73" s="1364" t="str">
        <f t="shared" ca="1" si="34"/>
        <v/>
      </c>
      <c r="H73" s="1364" t="str">
        <f t="shared" ca="1" si="35"/>
        <v/>
      </c>
      <c r="I73" s="1364" t="str">
        <f t="shared" ca="1" si="36"/>
        <v/>
      </c>
      <c r="J73" s="1364" t="str">
        <f t="shared" ca="1" si="37"/>
        <v/>
      </c>
      <c r="K73" s="1364" t="str">
        <f t="shared" ca="1" si="38"/>
        <v/>
      </c>
      <c r="L73" s="1364">
        <f t="shared" ca="1" si="39"/>
        <v>353.44439999999997</v>
      </c>
      <c r="M73" s="1364" t="str">
        <f t="shared" ca="1" si="40"/>
        <v/>
      </c>
      <c r="N73" s="13">
        <f t="shared" ca="1" si="43"/>
        <v>2.3119801651363805E-2</v>
      </c>
      <c r="O73" s="13">
        <f t="shared" ca="1" si="44"/>
        <v>132.71947843137252</v>
      </c>
      <c r="P73" s="1366">
        <f t="shared" ca="1" si="44"/>
        <v>272.1163843137254</v>
      </c>
      <c r="Q73" s="13">
        <f t="shared" ca="1" si="45"/>
        <v>9.2479206605455225E-3</v>
      </c>
      <c r="R73" s="13">
        <f t="shared" ca="1" si="46"/>
        <v>53.087791372549013</v>
      </c>
      <c r="S73" s="1366">
        <f t="shared" ca="1" si="46"/>
        <v>108.84655372549018</v>
      </c>
      <c r="U73" s="13" t="str">
        <f t="shared" ca="1" si="26"/>
        <v/>
      </c>
      <c r="V73" s="13" t="str">
        <f t="shared" ca="1" si="27"/>
        <v/>
      </c>
      <c r="W73" s="13" t="str">
        <f t="shared" ca="1" si="41"/>
        <v/>
      </c>
      <c r="Y73" s="13" t="str">
        <f t="shared" ca="1" si="28"/>
        <v/>
      </c>
      <c r="Z73" s="13" t="str">
        <f t="shared" ca="1" si="29"/>
        <v/>
      </c>
      <c r="AA73" s="13" t="str">
        <f t="shared" ca="1" si="42"/>
        <v/>
      </c>
    </row>
    <row r="74" spans="1:27" x14ac:dyDescent="0.25">
      <c r="A74" s="1363">
        <v>0.7</v>
      </c>
      <c r="B74" s="13">
        <f t="shared" si="30"/>
        <v>4.5699999999999998E-2</v>
      </c>
      <c r="C74" s="1364">
        <f t="shared" si="31"/>
        <v>92.34</v>
      </c>
      <c r="D74" s="1364">
        <f ca="1">B74*'Ввод исходных данных'!$G$285+C74+IF('Ввод исходных данных'!$D$159=0,7,10)</f>
        <v>355.11375999999996</v>
      </c>
      <c r="E74" s="1431" t="str">
        <f t="shared" ca="1" si="32"/>
        <v/>
      </c>
      <c r="F74" s="1364" t="str">
        <f t="shared" ca="1" si="33"/>
        <v/>
      </c>
      <c r="G74" s="1364" t="str">
        <f t="shared" ca="1" si="34"/>
        <v/>
      </c>
      <c r="H74" s="1364" t="str">
        <f t="shared" ca="1" si="35"/>
        <v/>
      </c>
      <c r="I74" s="1364" t="str">
        <f t="shared" ca="1" si="36"/>
        <v/>
      </c>
      <c r="J74" s="1364" t="str">
        <f t="shared" ca="1" si="37"/>
        <v/>
      </c>
      <c r="K74" s="1364" t="str">
        <f t="shared" ca="1" si="38"/>
        <v/>
      </c>
      <c r="L74" s="1364">
        <f t="shared" ca="1" si="39"/>
        <v>355.11375999999996</v>
      </c>
      <c r="M74" s="1364" t="str">
        <f t="shared" ca="1" si="40"/>
        <v/>
      </c>
      <c r="N74" s="13">
        <f t="shared" ca="1" si="43"/>
        <v>2.3119801651363805E-2</v>
      </c>
      <c r="O74" s="13">
        <f t="shared" ca="1" si="44"/>
        <v>132.71947843137252</v>
      </c>
      <c r="P74" s="1366">
        <f t="shared" ca="1" si="44"/>
        <v>272.1163843137254</v>
      </c>
      <c r="Q74" s="13">
        <f t="shared" ca="1" si="45"/>
        <v>9.2479206605455225E-3</v>
      </c>
      <c r="R74" s="13">
        <f t="shared" ca="1" si="46"/>
        <v>53.087791372549013</v>
      </c>
      <c r="S74" s="1366">
        <f t="shared" ca="1" si="46"/>
        <v>108.84655372549018</v>
      </c>
      <c r="U74" s="13" t="str">
        <f t="shared" ca="1" si="26"/>
        <v/>
      </c>
      <c r="V74" s="13" t="str">
        <f t="shared" ca="1" si="27"/>
        <v/>
      </c>
      <c r="W74" s="13" t="str">
        <f t="shared" ca="1" si="41"/>
        <v/>
      </c>
      <c r="Y74" s="13" t="str">
        <f t="shared" ca="1" si="28"/>
        <v/>
      </c>
      <c r="Z74" s="13" t="str">
        <f t="shared" ca="1" si="29"/>
        <v/>
      </c>
      <c r="AA74" s="13" t="str">
        <f t="shared" ca="1" si="42"/>
        <v/>
      </c>
    </row>
    <row r="75" spans="1:27" x14ac:dyDescent="0.25">
      <c r="A75" s="1363">
        <v>0.71</v>
      </c>
      <c r="B75" s="13">
        <f t="shared" si="30"/>
        <v>4.5999999999999999E-2</v>
      </c>
      <c r="C75" s="1364">
        <f t="shared" si="31"/>
        <v>93.47</v>
      </c>
      <c r="D75" s="1364">
        <f ca="1">B75*'Ввод исходных данных'!$G$285+C75+IF('Ввод исходных данных'!$D$159=0,7,10)</f>
        <v>357.92279999999994</v>
      </c>
      <c r="E75" s="1431" t="str">
        <f t="shared" ca="1" si="32"/>
        <v/>
      </c>
      <c r="F75" s="1364" t="str">
        <f t="shared" ca="1" si="33"/>
        <v/>
      </c>
      <c r="G75" s="1364" t="str">
        <f t="shared" ca="1" si="34"/>
        <v/>
      </c>
      <c r="H75" s="1364" t="str">
        <f t="shared" ca="1" si="35"/>
        <v/>
      </c>
      <c r="I75" s="1364" t="str">
        <f t="shared" ca="1" si="36"/>
        <v/>
      </c>
      <c r="J75" s="1364" t="str">
        <f t="shared" ca="1" si="37"/>
        <v/>
      </c>
      <c r="K75" s="1364" t="str">
        <f t="shared" ca="1" si="38"/>
        <v/>
      </c>
      <c r="L75" s="1364">
        <f t="shared" ca="1" si="39"/>
        <v>357.92279999999994</v>
      </c>
      <c r="M75" s="1364" t="str">
        <f t="shared" ca="1" si="40"/>
        <v/>
      </c>
      <c r="N75" s="13">
        <f t="shared" ca="1" si="43"/>
        <v>2.3119801651363805E-2</v>
      </c>
      <c r="O75" s="13">
        <f t="shared" ca="1" si="44"/>
        <v>132.71947843137252</v>
      </c>
      <c r="P75" s="1366">
        <f t="shared" ca="1" si="44"/>
        <v>272.1163843137254</v>
      </c>
      <c r="Q75" s="13">
        <f t="shared" ca="1" si="45"/>
        <v>9.2479206605455225E-3</v>
      </c>
      <c r="R75" s="13">
        <f t="shared" ca="1" si="46"/>
        <v>53.087791372549013</v>
      </c>
      <c r="S75" s="1366">
        <f t="shared" ca="1" si="46"/>
        <v>108.84655372549018</v>
      </c>
      <c r="U75" s="13" t="str">
        <f t="shared" ca="1" si="26"/>
        <v/>
      </c>
      <c r="V75" s="13" t="str">
        <f t="shared" ca="1" si="27"/>
        <v/>
      </c>
      <c r="W75" s="13" t="str">
        <f t="shared" ca="1" si="41"/>
        <v/>
      </c>
      <c r="Y75" s="13" t="str">
        <f t="shared" ca="1" si="28"/>
        <v/>
      </c>
      <c r="Z75" s="13" t="str">
        <f t="shared" ca="1" si="29"/>
        <v/>
      </c>
      <c r="AA75" s="13" t="str">
        <f t="shared" ca="1" si="42"/>
        <v/>
      </c>
    </row>
    <row r="76" spans="1:27" x14ac:dyDescent="0.25">
      <c r="A76" s="1363">
        <v>0.72</v>
      </c>
      <c r="B76" s="13">
        <f t="shared" si="30"/>
        <v>4.6300000000000001E-2</v>
      </c>
      <c r="C76" s="1364">
        <f t="shared" si="31"/>
        <v>94.31</v>
      </c>
      <c r="D76" s="1364">
        <f ca="1">B76*'Ввод исходных данных'!$G$285+C76+IF('Ввод исходных данных'!$D$159=0,7,10)</f>
        <v>360.44183999999996</v>
      </c>
      <c r="E76" s="1431" t="str">
        <f t="shared" ca="1" si="32"/>
        <v/>
      </c>
      <c r="F76" s="1364" t="str">
        <f t="shared" ca="1" si="33"/>
        <v/>
      </c>
      <c r="G76" s="1364" t="str">
        <f t="shared" ca="1" si="34"/>
        <v/>
      </c>
      <c r="H76" s="1364" t="str">
        <f t="shared" ca="1" si="35"/>
        <v/>
      </c>
      <c r="I76" s="1364" t="str">
        <f t="shared" ca="1" si="36"/>
        <v/>
      </c>
      <c r="J76" s="1364" t="str">
        <f t="shared" ca="1" si="37"/>
        <v/>
      </c>
      <c r="K76" s="1364" t="str">
        <f t="shared" ca="1" si="38"/>
        <v/>
      </c>
      <c r="L76" s="1364">
        <f t="shared" ca="1" si="39"/>
        <v>360.44183999999996</v>
      </c>
      <c r="M76" s="1364" t="str">
        <f t="shared" ca="1" si="40"/>
        <v/>
      </c>
      <c r="N76" s="13">
        <f t="shared" ca="1" si="43"/>
        <v>2.3119801651363805E-2</v>
      </c>
      <c r="O76" s="13">
        <f t="shared" ca="1" si="44"/>
        <v>132.71947843137252</v>
      </c>
      <c r="P76" s="1366">
        <f t="shared" ca="1" si="44"/>
        <v>272.1163843137254</v>
      </c>
      <c r="Q76" s="13">
        <f t="shared" ca="1" si="45"/>
        <v>9.2479206605455225E-3</v>
      </c>
      <c r="R76" s="13">
        <f t="shared" ca="1" si="46"/>
        <v>53.087791372549013</v>
      </c>
      <c r="S76" s="1366">
        <f t="shared" ca="1" si="46"/>
        <v>108.84655372549018</v>
      </c>
      <c r="U76" s="13" t="str">
        <f t="shared" ca="1" si="26"/>
        <v/>
      </c>
      <c r="V76" s="13" t="str">
        <f t="shared" ca="1" si="27"/>
        <v/>
      </c>
      <c r="W76" s="13" t="str">
        <f t="shared" ca="1" si="41"/>
        <v/>
      </c>
      <c r="Y76" s="13" t="str">
        <f t="shared" ca="1" si="28"/>
        <v/>
      </c>
      <c r="Z76" s="13" t="str">
        <f t="shared" ca="1" si="29"/>
        <v/>
      </c>
      <c r="AA76" s="13" t="str">
        <f t="shared" ca="1" si="42"/>
        <v/>
      </c>
    </row>
    <row r="77" spans="1:27" x14ac:dyDescent="0.25">
      <c r="A77" s="1363">
        <v>0.73</v>
      </c>
      <c r="B77" s="13">
        <f t="shared" si="30"/>
        <v>4.6600000000000003E-2</v>
      </c>
      <c r="C77" s="1364">
        <f t="shared" si="31"/>
        <v>95.45</v>
      </c>
      <c r="D77" s="1364">
        <f ca="1">B77*'Ввод исходных данных'!$G$285+C77+IF('Ввод исходных данных'!$D$159=0,7,10)</f>
        <v>363.26087999999999</v>
      </c>
      <c r="E77" s="1431" t="str">
        <f t="shared" ca="1" si="32"/>
        <v/>
      </c>
      <c r="F77" s="1364" t="str">
        <f t="shared" ca="1" si="33"/>
        <v/>
      </c>
      <c r="G77" s="1364" t="str">
        <f t="shared" ca="1" si="34"/>
        <v/>
      </c>
      <c r="H77" s="1364" t="str">
        <f t="shared" ca="1" si="35"/>
        <v/>
      </c>
      <c r="I77" s="1364" t="str">
        <f t="shared" ca="1" si="36"/>
        <v/>
      </c>
      <c r="J77" s="1364" t="str">
        <f t="shared" ca="1" si="37"/>
        <v/>
      </c>
      <c r="K77" s="1364" t="str">
        <f t="shared" ca="1" si="38"/>
        <v/>
      </c>
      <c r="L77" s="1364">
        <f t="shared" ca="1" si="39"/>
        <v>363.26087999999999</v>
      </c>
      <c r="M77" s="1364" t="str">
        <f t="shared" ca="1" si="40"/>
        <v/>
      </c>
      <c r="N77" s="13">
        <f t="shared" ca="1" si="43"/>
        <v>2.3119801651363805E-2</v>
      </c>
      <c r="O77" s="13">
        <f t="shared" ca="1" si="44"/>
        <v>132.71947843137252</v>
      </c>
      <c r="P77" s="1366">
        <f t="shared" ca="1" si="44"/>
        <v>272.1163843137254</v>
      </c>
      <c r="Q77" s="13">
        <f t="shared" ca="1" si="45"/>
        <v>9.2479206605455225E-3</v>
      </c>
      <c r="R77" s="13">
        <f t="shared" ca="1" si="46"/>
        <v>53.087791372549013</v>
      </c>
      <c r="S77" s="1366">
        <f t="shared" ca="1" si="46"/>
        <v>108.84655372549018</v>
      </c>
      <c r="U77" s="13" t="str">
        <f t="shared" ca="1" si="26"/>
        <v/>
      </c>
      <c r="V77" s="13" t="str">
        <f t="shared" ca="1" si="27"/>
        <v/>
      </c>
      <c r="W77" s="13" t="str">
        <f t="shared" ca="1" si="41"/>
        <v/>
      </c>
      <c r="Y77" s="13" t="str">
        <f t="shared" ca="1" si="28"/>
        <v/>
      </c>
      <c r="Z77" s="13" t="str">
        <f t="shared" ca="1" si="29"/>
        <v/>
      </c>
      <c r="AA77" s="13" t="str">
        <f t="shared" ca="1" si="42"/>
        <v/>
      </c>
    </row>
    <row r="78" spans="1:27" x14ac:dyDescent="0.25">
      <c r="A78" s="1363">
        <v>0.74</v>
      </c>
      <c r="B78" s="13">
        <f t="shared" si="30"/>
        <v>4.6800000000000001E-2</v>
      </c>
      <c r="C78" s="1364">
        <f t="shared" si="31"/>
        <v>96.45</v>
      </c>
      <c r="D78" s="1364">
        <f ca="1">B78*'Ввод исходных данных'!$G$285+C78+IF('Ввод исходных данных'!$D$159=0,7,10)</f>
        <v>365.38023999999996</v>
      </c>
      <c r="E78" s="1431" t="str">
        <f t="shared" ca="1" si="32"/>
        <v/>
      </c>
      <c r="F78" s="1364" t="str">
        <f t="shared" ca="1" si="33"/>
        <v/>
      </c>
      <c r="G78" s="1364" t="str">
        <f t="shared" ca="1" si="34"/>
        <v/>
      </c>
      <c r="H78" s="1364" t="str">
        <f t="shared" ca="1" si="35"/>
        <v/>
      </c>
      <c r="I78" s="1364" t="str">
        <f t="shared" ca="1" si="36"/>
        <v/>
      </c>
      <c r="J78" s="1364" t="str">
        <f t="shared" ca="1" si="37"/>
        <v/>
      </c>
      <c r="K78" s="1364" t="str">
        <f t="shared" ca="1" si="38"/>
        <v/>
      </c>
      <c r="L78" s="1364">
        <f t="shared" ca="1" si="39"/>
        <v>365.38023999999996</v>
      </c>
      <c r="M78" s="1364" t="str">
        <f t="shared" ca="1" si="40"/>
        <v/>
      </c>
      <c r="N78" s="13">
        <f t="shared" ca="1" si="43"/>
        <v>2.3119801651363805E-2</v>
      </c>
      <c r="O78" s="13">
        <f t="shared" ca="1" si="44"/>
        <v>132.71947843137252</v>
      </c>
      <c r="P78" s="1366">
        <f t="shared" ca="1" si="44"/>
        <v>272.1163843137254</v>
      </c>
      <c r="Q78" s="13">
        <f t="shared" ca="1" si="45"/>
        <v>9.2479206605455225E-3</v>
      </c>
      <c r="R78" s="13">
        <f t="shared" ca="1" si="46"/>
        <v>53.087791372549013</v>
      </c>
      <c r="S78" s="1366">
        <f t="shared" ca="1" si="46"/>
        <v>108.84655372549018</v>
      </c>
      <c r="U78" s="13" t="str">
        <f t="shared" ca="1" si="26"/>
        <v/>
      </c>
      <c r="V78" s="13" t="str">
        <f t="shared" ca="1" si="27"/>
        <v/>
      </c>
      <c r="W78" s="13" t="str">
        <f t="shared" ca="1" si="41"/>
        <v/>
      </c>
      <c r="Y78" s="13" t="str">
        <f t="shared" ca="1" si="28"/>
        <v/>
      </c>
      <c r="Z78" s="13" t="str">
        <f t="shared" ca="1" si="29"/>
        <v/>
      </c>
      <c r="AA78" s="13" t="str">
        <f t="shared" ca="1" si="42"/>
        <v/>
      </c>
    </row>
    <row r="79" spans="1:27" x14ac:dyDescent="0.25">
      <c r="A79" s="1363">
        <v>0.75</v>
      </c>
      <c r="B79" s="13">
        <f t="shared" si="30"/>
        <v>4.7199999999999999E-2</v>
      </c>
      <c r="C79" s="1364">
        <f t="shared" si="31"/>
        <v>97.7</v>
      </c>
      <c r="D79" s="1364">
        <f ca="1">B79*'Ввод исходных данных'!$G$285+C79+IF('Ввод исходных данных'!$D$159=0,7,10)</f>
        <v>368.86895999999996</v>
      </c>
      <c r="E79" s="1431" t="str">
        <f t="shared" ca="1" si="32"/>
        <v/>
      </c>
      <c r="F79" s="1364" t="str">
        <f t="shared" ca="1" si="33"/>
        <v/>
      </c>
      <c r="G79" s="1364" t="str">
        <f t="shared" ca="1" si="34"/>
        <v/>
      </c>
      <c r="H79" s="1364" t="str">
        <f t="shared" ca="1" si="35"/>
        <v/>
      </c>
      <c r="I79" s="1364" t="str">
        <f t="shared" ca="1" si="36"/>
        <v/>
      </c>
      <c r="J79" s="1364" t="str">
        <f t="shared" ca="1" si="37"/>
        <v/>
      </c>
      <c r="K79" s="1364" t="str">
        <f t="shared" ca="1" si="38"/>
        <v/>
      </c>
      <c r="L79" s="1364">
        <f t="shared" ca="1" si="39"/>
        <v>368.86895999999996</v>
      </c>
      <c r="M79" s="1364" t="str">
        <f t="shared" ca="1" si="40"/>
        <v/>
      </c>
      <c r="N79" s="13">
        <f t="shared" ca="1" si="43"/>
        <v>2.3119801651363805E-2</v>
      </c>
      <c r="O79" s="13">
        <f t="shared" ca="1" si="44"/>
        <v>132.71947843137252</v>
      </c>
      <c r="P79" s="1366">
        <f t="shared" ca="1" si="44"/>
        <v>272.1163843137254</v>
      </c>
      <c r="Q79" s="13">
        <f t="shared" ca="1" si="45"/>
        <v>9.2479206605455225E-3</v>
      </c>
      <c r="R79" s="13">
        <f t="shared" ca="1" si="46"/>
        <v>53.087791372549013</v>
      </c>
      <c r="S79" s="1366">
        <f t="shared" ca="1" si="46"/>
        <v>108.84655372549018</v>
      </c>
      <c r="U79" s="13" t="str">
        <f t="shared" ca="1" si="26"/>
        <v/>
      </c>
      <c r="V79" s="13" t="str">
        <f t="shared" ca="1" si="27"/>
        <v/>
      </c>
      <c r="W79" s="13" t="str">
        <f t="shared" ca="1" si="41"/>
        <v/>
      </c>
      <c r="Y79" s="13" t="str">
        <f t="shared" ca="1" si="28"/>
        <v/>
      </c>
      <c r="Z79" s="13" t="str">
        <f t="shared" ca="1" si="29"/>
        <v/>
      </c>
      <c r="AA79" s="13" t="str">
        <f t="shared" ca="1" si="42"/>
        <v/>
      </c>
    </row>
    <row r="80" spans="1:27" x14ac:dyDescent="0.25">
      <c r="A80" s="1363">
        <v>0.76</v>
      </c>
      <c r="B80" s="13">
        <f t="shared" si="30"/>
        <v>4.7500000000000001E-2</v>
      </c>
      <c r="C80" s="1364">
        <f t="shared" si="31"/>
        <v>98.6</v>
      </c>
      <c r="D80" s="1364">
        <f ca="1">B80*'Ввод исходных данных'!$G$285+C80+IF('Ввод исходных данных'!$D$159=0,7,10)</f>
        <v>371.44799999999998</v>
      </c>
      <c r="E80" s="1431" t="str">
        <f t="shared" ca="1" si="32"/>
        <v/>
      </c>
      <c r="F80" s="1364" t="str">
        <f t="shared" ca="1" si="33"/>
        <v/>
      </c>
      <c r="G80" s="1364" t="str">
        <f t="shared" ca="1" si="34"/>
        <v/>
      </c>
      <c r="H80" s="1364" t="str">
        <f t="shared" ca="1" si="35"/>
        <v/>
      </c>
      <c r="I80" s="1364" t="str">
        <f t="shared" ca="1" si="36"/>
        <v/>
      </c>
      <c r="J80" s="1364" t="str">
        <f t="shared" ca="1" si="37"/>
        <v/>
      </c>
      <c r="K80" s="1364" t="str">
        <f t="shared" ca="1" si="38"/>
        <v/>
      </c>
      <c r="L80" s="1364">
        <f t="shared" ca="1" si="39"/>
        <v>371.44799999999998</v>
      </c>
      <c r="M80" s="1364" t="str">
        <f t="shared" ca="1" si="40"/>
        <v/>
      </c>
      <c r="N80" s="13">
        <f t="shared" ca="1" si="43"/>
        <v>2.3119801651363805E-2</v>
      </c>
      <c r="O80" s="13">
        <f t="shared" ca="1" si="44"/>
        <v>132.71947843137252</v>
      </c>
      <c r="P80" s="1366">
        <f t="shared" ca="1" si="44"/>
        <v>272.1163843137254</v>
      </c>
      <c r="Q80" s="13">
        <f t="shared" ca="1" si="45"/>
        <v>9.2479206605455225E-3</v>
      </c>
      <c r="R80" s="13">
        <f t="shared" ca="1" si="46"/>
        <v>53.087791372549013</v>
      </c>
      <c r="S80" s="1366">
        <f t="shared" ca="1" si="46"/>
        <v>108.84655372549018</v>
      </c>
      <c r="U80" s="13" t="str">
        <f t="shared" ca="1" si="26"/>
        <v/>
      </c>
      <c r="V80" s="13" t="str">
        <f t="shared" ca="1" si="27"/>
        <v/>
      </c>
      <c r="W80" s="13" t="str">
        <f t="shared" ca="1" si="41"/>
        <v/>
      </c>
      <c r="Y80" s="13" t="str">
        <f t="shared" ca="1" si="28"/>
        <v/>
      </c>
      <c r="Z80" s="13" t="str">
        <f t="shared" ca="1" si="29"/>
        <v/>
      </c>
      <c r="AA80" s="13" t="str">
        <f t="shared" ca="1" si="42"/>
        <v/>
      </c>
    </row>
    <row r="81" spans="1:27" x14ac:dyDescent="0.25">
      <c r="A81" s="1363">
        <v>0.77</v>
      </c>
      <c r="B81" s="13">
        <f t="shared" si="30"/>
        <v>4.7899999999999998E-2</v>
      </c>
      <c r="C81" s="1364">
        <f t="shared" si="31"/>
        <v>99.28</v>
      </c>
      <c r="D81" s="1364">
        <f ca="1">B81*'Ввод исходных данных'!$G$285+C81+IF('Ввод исходных данных'!$D$159=0,7,10)</f>
        <v>374.36671999999999</v>
      </c>
      <c r="E81" s="1431" t="str">
        <f t="shared" ca="1" si="32"/>
        <v/>
      </c>
      <c r="F81" s="1364" t="str">
        <f t="shared" ca="1" si="33"/>
        <v/>
      </c>
      <c r="G81" s="1364" t="str">
        <f t="shared" ca="1" si="34"/>
        <v/>
      </c>
      <c r="H81" s="1364" t="str">
        <f t="shared" ca="1" si="35"/>
        <v/>
      </c>
      <c r="I81" s="1364" t="str">
        <f t="shared" ca="1" si="36"/>
        <v/>
      </c>
      <c r="J81" s="1364" t="str">
        <f t="shared" ca="1" si="37"/>
        <v/>
      </c>
      <c r="K81" s="1364" t="str">
        <f t="shared" ca="1" si="38"/>
        <v/>
      </c>
      <c r="L81" s="1364">
        <f t="shared" ca="1" si="39"/>
        <v>374.36671999999999</v>
      </c>
      <c r="M81" s="1364" t="str">
        <f t="shared" ca="1" si="40"/>
        <v/>
      </c>
      <c r="N81" s="13">
        <f t="shared" ca="1" si="43"/>
        <v>2.3119801651363805E-2</v>
      </c>
      <c r="O81" s="13">
        <f t="shared" ca="1" si="44"/>
        <v>132.71947843137252</v>
      </c>
      <c r="P81" s="1366">
        <f t="shared" ca="1" si="44"/>
        <v>272.1163843137254</v>
      </c>
      <c r="Q81" s="13">
        <f t="shared" ca="1" si="45"/>
        <v>9.2479206605455225E-3</v>
      </c>
      <c r="R81" s="13">
        <f t="shared" ca="1" si="46"/>
        <v>53.087791372549013</v>
      </c>
      <c r="S81" s="1366">
        <f t="shared" ca="1" si="46"/>
        <v>108.84655372549018</v>
      </c>
      <c r="U81" s="13" t="str">
        <f t="shared" ca="1" si="26"/>
        <v/>
      </c>
      <c r="V81" s="13" t="str">
        <f t="shared" ca="1" si="27"/>
        <v/>
      </c>
      <c r="W81" s="13" t="str">
        <f t="shared" ca="1" si="41"/>
        <v/>
      </c>
      <c r="Y81" s="13" t="str">
        <f t="shared" ca="1" si="28"/>
        <v/>
      </c>
      <c r="Z81" s="13" t="str">
        <f t="shared" ca="1" si="29"/>
        <v/>
      </c>
      <c r="AA81" s="13" t="str">
        <f t="shared" ca="1" si="42"/>
        <v/>
      </c>
    </row>
    <row r="82" spans="1:27" x14ac:dyDescent="0.25">
      <c r="A82" s="1363">
        <v>0.78</v>
      </c>
      <c r="B82" s="13">
        <f t="shared" si="30"/>
        <v>4.82E-2</v>
      </c>
      <c r="C82" s="1364">
        <f t="shared" si="31"/>
        <v>99.79</v>
      </c>
      <c r="D82" s="1364">
        <f ca="1">B82*'Ввод исходных данных'!$G$285+C82+IF('Ввод исходных данных'!$D$159=0,7,10)</f>
        <v>376.55575999999996</v>
      </c>
      <c r="E82" s="1431" t="str">
        <f t="shared" ca="1" si="32"/>
        <v/>
      </c>
      <c r="F82" s="1364" t="str">
        <f t="shared" ca="1" si="33"/>
        <v/>
      </c>
      <c r="G82" s="1364" t="str">
        <f t="shared" ca="1" si="34"/>
        <v/>
      </c>
      <c r="H82" s="1364" t="str">
        <f t="shared" ca="1" si="35"/>
        <v/>
      </c>
      <c r="I82" s="1364" t="str">
        <f t="shared" ca="1" si="36"/>
        <v/>
      </c>
      <c r="J82" s="1364" t="str">
        <f t="shared" ca="1" si="37"/>
        <v/>
      </c>
      <c r="K82" s="1364" t="str">
        <f t="shared" ca="1" si="38"/>
        <v/>
      </c>
      <c r="L82" s="1364">
        <f t="shared" ca="1" si="39"/>
        <v>376.55575999999996</v>
      </c>
      <c r="M82" s="1364" t="str">
        <f t="shared" ca="1" si="40"/>
        <v/>
      </c>
      <c r="N82" s="13">
        <f t="shared" ca="1" si="43"/>
        <v>2.3119801651363805E-2</v>
      </c>
      <c r="O82" s="13">
        <f t="shared" ca="1" si="44"/>
        <v>132.71947843137252</v>
      </c>
      <c r="P82" s="1366">
        <f t="shared" ca="1" si="44"/>
        <v>272.1163843137254</v>
      </c>
      <c r="Q82" s="13">
        <f t="shared" ca="1" si="45"/>
        <v>9.2479206605455225E-3</v>
      </c>
      <c r="R82" s="13">
        <f t="shared" ca="1" si="46"/>
        <v>53.087791372549013</v>
      </c>
      <c r="S82" s="1366">
        <f t="shared" ca="1" si="46"/>
        <v>108.84655372549018</v>
      </c>
      <c r="U82" s="13" t="str">
        <f t="shared" ca="1" si="26"/>
        <v/>
      </c>
      <c r="V82" s="13" t="str">
        <f t="shared" ca="1" si="27"/>
        <v/>
      </c>
      <c r="W82" s="13" t="str">
        <f t="shared" ca="1" si="41"/>
        <v/>
      </c>
      <c r="Y82" s="13" t="str">
        <f t="shared" ca="1" si="28"/>
        <v/>
      </c>
      <c r="Z82" s="13" t="str">
        <f t="shared" ca="1" si="29"/>
        <v/>
      </c>
      <c r="AA82" s="13" t="str">
        <f t="shared" ca="1" si="42"/>
        <v/>
      </c>
    </row>
    <row r="83" spans="1:27" x14ac:dyDescent="0.25">
      <c r="A83" s="1363">
        <v>0.79</v>
      </c>
      <c r="B83" s="13">
        <f t="shared" si="30"/>
        <v>4.8599999999999997E-2</v>
      </c>
      <c r="C83" s="1364">
        <f t="shared" si="31"/>
        <v>100.66</v>
      </c>
      <c r="D83" s="1364">
        <f ca="1">B83*'Ввод исходных данных'!$G$285+C83+IF('Ввод исходных данных'!$D$159=0,7,10)</f>
        <v>379.66447999999991</v>
      </c>
      <c r="E83" s="1431" t="str">
        <f t="shared" ca="1" si="32"/>
        <v/>
      </c>
      <c r="F83" s="1364" t="str">
        <f t="shared" ca="1" si="33"/>
        <v/>
      </c>
      <c r="G83" s="1364" t="str">
        <f t="shared" ca="1" si="34"/>
        <v/>
      </c>
      <c r="H83" s="1364" t="str">
        <f t="shared" ca="1" si="35"/>
        <v/>
      </c>
      <c r="I83" s="1364" t="str">
        <f t="shared" ca="1" si="36"/>
        <v/>
      </c>
      <c r="J83" s="1364" t="str">
        <f t="shared" ca="1" si="37"/>
        <v/>
      </c>
      <c r="K83" s="1364" t="str">
        <f t="shared" ca="1" si="38"/>
        <v/>
      </c>
      <c r="L83" s="1364">
        <f t="shared" ca="1" si="39"/>
        <v>379.66447999999991</v>
      </c>
      <c r="M83" s="1364" t="str">
        <f t="shared" ca="1" si="40"/>
        <v/>
      </c>
      <c r="N83" s="13">
        <f t="shared" ca="1" si="43"/>
        <v>2.3119801651363805E-2</v>
      </c>
      <c r="O83" s="13">
        <f t="shared" ca="1" si="44"/>
        <v>132.71947843137252</v>
      </c>
      <c r="P83" s="1366">
        <f t="shared" ca="1" si="44"/>
        <v>272.1163843137254</v>
      </c>
      <c r="Q83" s="13">
        <f t="shared" ca="1" si="45"/>
        <v>9.2479206605455225E-3</v>
      </c>
      <c r="R83" s="13">
        <f t="shared" ca="1" si="46"/>
        <v>53.087791372549013</v>
      </c>
      <c r="S83" s="1366">
        <f t="shared" ca="1" si="46"/>
        <v>108.84655372549018</v>
      </c>
      <c r="U83" s="13" t="str">
        <f t="shared" ca="1" si="26"/>
        <v/>
      </c>
      <c r="V83" s="13" t="str">
        <f t="shared" ca="1" si="27"/>
        <v/>
      </c>
      <c r="W83" s="13" t="str">
        <f t="shared" ca="1" si="41"/>
        <v/>
      </c>
      <c r="Y83" s="13" t="str">
        <f t="shared" ca="1" si="28"/>
        <v/>
      </c>
      <c r="Z83" s="13" t="str">
        <f t="shared" ca="1" si="29"/>
        <v/>
      </c>
      <c r="AA83" s="13" t="str">
        <f t="shared" ca="1" si="42"/>
        <v/>
      </c>
    </row>
    <row r="84" spans="1:27" x14ac:dyDescent="0.25">
      <c r="A84" s="1363">
        <v>0.8</v>
      </c>
      <c r="B84" s="13">
        <f t="shared" si="30"/>
        <v>4.8899999999999999E-2</v>
      </c>
      <c r="C84" s="1364">
        <f t="shared" si="31"/>
        <v>101.62</v>
      </c>
      <c r="D84" s="1364">
        <f ca="1">B84*'Ввод исходных данных'!$G$285+C84+IF('Ввод исходных данных'!$D$159=0,7,10)</f>
        <v>382.30351999999999</v>
      </c>
      <c r="E84" s="1431" t="str">
        <f t="shared" ca="1" si="32"/>
        <v/>
      </c>
      <c r="F84" s="1364" t="str">
        <f t="shared" ca="1" si="33"/>
        <v/>
      </c>
      <c r="G84" s="1364" t="str">
        <f t="shared" ca="1" si="34"/>
        <v/>
      </c>
      <c r="H84" s="1364" t="str">
        <f t="shared" ca="1" si="35"/>
        <v/>
      </c>
      <c r="I84" s="1364" t="str">
        <f t="shared" ca="1" si="36"/>
        <v/>
      </c>
      <c r="J84" s="1364" t="str">
        <f t="shared" ca="1" si="37"/>
        <v/>
      </c>
      <c r="K84" s="1364" t="str">
        <f t="shared" ca="1" si="38"/>
        <v/>
      </c>
      <c r="L84" s="1364">
        <f t="shared" ca="1" si="39"/>
        <v>382.30351999999999</v>
      </c>
      <c r="M84" s="1364" t="str">
        <f t="shared" ca="1" si="40"/>
        <v/>
      </c>
      <c r="N84" s="13">
        <f t="shared" ca="1" si="43"/>
        <v>2.3119801651363805E-2</v>
      </c>
      <c r="O84" s="13">
        <f t="shared" ca="1" si="44"/>
        <v>132.71947843137252</v>
      </c>
      <c r="P84" s="1366">
        <f t="shared" ca="1" si="44"/>
        <v>272.1163843137254</v>
      </c>
      <c r="Q84" s="13">
        <f t="shared" ca="1" si="45"/>
        <v>9.2479206605455225E-3</v>
      </c>
      <c r="R84" s="13">
        <f t="shared" ca="1" si="46"/>
        <v>53.087791372549013</v>
      </c>
      <c r="S84" s="1366">
        <f t="shared" ca="1" si="46"/>
        <v>108.84655372549018</v>
      </c>
      <c r="U84" s="13" t="str">
        <f t="shared" ca="1" si="26"/>
        <v/>
      </c>
      <c r="V84" s="13" t="str">
        <f t="shared" ca="1" si="27"/>
        <v/>
      </c>
      <c r="W84" s="13" t="str">
        <f t="shared" ca="1" si="41"/>
        <v/>
      </c>
      <c r="Y84" s="13" t="str">
        <f t="shared" ca="1" si="28"/>
        <v/>
      </c>
      <c r="Z84" s="13" t="str">
        <f t="shared" ca="1" si="29"/>
        <v/>
      </c>
      <c r="AA84" s="13" t="str">
        <f t="shared" ca="1" si="42"/>
        <v/>
      </c>
    </row>
    <row r="85" spans="1:27" x14ac:dyDescent="0.25">
      <c r="A85" s="1363">
        <v>0.81</v>
      </c>
      <c r="B85" s="13">
        <f t="shared" si="30"/>
        <v>4.9200000000000001E-2</v>
      </c>
      <c r="C85" s="1364">
        <f t="shared" si="31"/>
        <v>103.15</v>
      </c>
      <c r="D85" s="1364">
        <f ca="1">B85*'Ввод исходных данных'!$G$285+C85+IF('Ввод исходных данных'!$D$159=0,7,10)</f>
        <v>385.51256000000001</v>
      </c>
      <c r="E85" s="1431" t="str">
        <f t="shared" ca="1" si="32"/>
        <v/>
      </c>
      <c r="F85" s="1364" t="str">
        <f t="shared" ca="1" si="33"/>
        <v/>
      </c>
      <c r="G85" s="1364" t="str">
        <f t="shared" ca="1" si="34"/>
        <v/>
      </c>
      <c r="H85" s="1364" t="str">
        <f t="shared" ca="1" si="35"/>
        <v/>
      </c>
      <c r="I85" s="1364" t="str">
        <f t="shared" ca="1" si="36"/>
        <v/>
      </c>
      <c r="J85" s="1364" t="str">
        <f t="shared" ca="1" si="37"/>
        <v/>
      </c>
      <c r="K85" s="1364" t="str">
        <f t="shared" ca="1" si="38"/>
        <v/>
      </c>
      <c r="L85" s="1364">
        <f t="shared" ca="1" si="39"/>
        <v>385.51256000000001</v>
      </c>
      <c r="M85" s="1364" t="str">
        <f t="shared" ca="1" si="40"/>
        <v/>
      </c>
      <c r="N85" s="13">
        <f t="shared" ca="1" si="43"/>
        <v>2.3119801651363805E-2</v>
      </c>
      <c r="O85" s="13">
        <f t="shared" ca="1" si="44"/>
        <v>132.71947843137252</v>
      </c>
      <c r="P85" s="1366">
        <f t="shared" ca="1" si="44"/>
        <v>272.1163843137254</v>
      </c>
      <c r="Q85" s="13">
        <f t="shared" ca="1" si="45"/>
        <v>9.2479206605455225E-3</v>
      </c>
      <c r="R85" s="13">
        <f t="shared" ca="1" si="46"/>
        <v>53.087791372549013</v>
      </c>
      <c r="S85" s="1366">
        <f t="shared" ca="1" si="46"/>
        <v>108.84655372549018</v>
      </c>
      <c r="U85" s="13" t="str">
        <f t="shared" ca="1" si="26"/>
        <v/>
      </c>
      <c r="V85" s="13" t="str">
        <f t="shared" ca="1" si="27"/>
        <v/>
      </c>
      <c r="W85" s="13" t="str">
        <f t="shared" ca="1" si="41"/>
        <v/>
      </c>
      <c r="Y85" s="13" t="str">
        <f t="shared" ca="1" si="28"/>
        <v/>
      </c>
      <c r="Z85" s="13" t="str">
        <f t="shared" ca="1" si="29"/>
        <v/>
      </c>
      <c r="AA85" s="13" t="str">
        <f t="shared" ca="1" si="42"/>
        <v/>
      </c>
    </row>
    <row r="86" spans="1:27" x14ac:dyDescent="0.25">
      <c r="A86" s="1363">
        <v>0.82</v>
      </c>
      <c r="B86" s="13">
        <f t="shared" si="30"/>
        <v>4.9700000000000001E-2</v>
      </c>
      <c r="C86" s="1364">
        <f t="shared" si="31"/>
        <v>104.11</v>
      </c>
      <c r="D86" s="1364">
        <f ca="1">B86*'Ввод исходных данных'!$G$285+C86+IF('Ввод исходных данных'!$D$159=0,7,10)</f>
        <v>389.27096</v>
      </c>
      <c r="E86" s="1431" t="str">
        <f t="shared" ca="1" si="32"/>
        <v/>
      </c>
      <c r="F86" s="1364" t="str">
        <f t="shared" ca="1" si="33"/>
        <v/>
      </c>
      <c r="G86" s="1364" t="str">
        <f t="shared" ca="1" si="34"/>
        <v/>
      </c>
      <c r="H86" s="1364" t="str">
        <f t="shared" ca="1" si="35"/>
        <v/>
      </c>
      <c r="I86" s="1364" t="str">
        <f t="shared" ca="1" si="36"/>
        <v/>
      </c>
      <c r="J86" s="1364" t="str">
        <f t="shared" ca="1" si="37"/>
        <v/>
      </c>
      <c r="K86" s="1364" t="str">
        <f t="shared" ca="1" si="38"/>
        <v/>
      </c>
      <c r="L86" s="1364">
        <f t="shared" ca="1" si="39"/>
        <v>389.27096</v>
      </c>
      <c r="M86" s="1364" t="str">
        <f t="shared" ca="1" si="40"/>
        <v/>
      </c>
      <c r="N86" s="13">
        <f t="shared" ca="1" si="43"/>
        <v>2.3119801651363805E-2</v>
      </c>
      <c r="O86" s="13">
        <f t="shared" ca="1" si="44"/>
        <v>132.71947843137252</v>
      </c>
      <c r="P86" s="1366">
        <f t="shared" ca="1" si="44"/>
        <v>272.1163843137254</v>
      </c>
      <c r="Q86" s="13">
        <f t="shared" ca="1" si="45"/>
        <v>9.2479206605455225E-3</v>
      </c>
      <c r="R86" s="13">
        <f t="shared" ca="1" si="46"/>
        <v>53.087791372549013</v>
      </c>
      <c r="S86" s="1366">
        <f t="shared" ca="1" si="46"/>
        <v>108.84655372549018</v>
      </c>
      <c r="U86" s="13" t="str">
        <f t="shared" ca="1" si="26"/>
        <v/>
      </c>
      <c r="V86" s="13" t="str">
        <f t="shared" ca="1" si="27"/>
        <v/>
      </c>
      <c r="W86" s="13" t="str">
        <f t="shared" ca="1" si="41"/>
        <v/>
      </c>
      <c r="Y86" s="13" t="str">
        <f t="shared" ca="1" si="28"/>
        <v/>
      </c>
      <c r="Z86" s="13" t="str">
        <f t="shared" ca="1" si="29"/>
        <v/>
      </c>
      <c r="AA86" s="13" t="str">
        <f t="shared" ca="1" si="42"/>
        <v/>
      </c>
    </row>
    <row r="87" spans="1:27" x14ac:dyDescent="0.25">
      <c r="A87" s="1363">
        <v>0.83</v>
      </c>
      <c r="B87" s="13">
        <f t="shared" si="30"/>
        <v>5.0099999999999999E-2</v>
      </c>
      <c r="C87" s="1364">
        <f t="shared" si="31"/>
        <v>104.89</v>
      </c>
      <c r="D87" s="1364">
        <f ca="1">B87*'Ввод исходных данных'!$G$285+C87+IF('Ввод исходных данных'!$D$159=0,7,10)</f>
        <v>392.28967999999992</v>
      </c>
      <c r="E87" s="1431" t="str">
        <f t="shared" ca="1" si="32"/>
        <v/>
      </c>
      <c r="F87" s="1364" t="str">
        <f t="shared" ca="1" si="33"/>
        <v/>
      </c>
      <c r="G87" s="1364" t="str">
        <f t="shared" ca="1" si="34"/>
        <v/>
      </c>
      <c r="H87" s="1364" t="str">
        <f t="shared" ca="1" si="35"/>
        <v/>
      </c>
      <c r="I87" s="1364" t="str">
        <f t="shared" ca="1" si="36"/>
        <v/>
      </c>
      <c r="J87" s="1364" t="str">
        <f t="shared" ca="1" si="37"/>
        <v/>
      </c>
      <c r="K87" s="1364" t="str">
        <f t="shared" ca="1" si="38"/>
        <v/>
      </c>
      <c r="L87" s="1364">
        <f t="shared" ca="1" si="39"/>
        <v>392.28967999999992</v>
      </c>
      <c r="M87" s="1364" t="str">
        <f t="shared" ca="1" si="40"/>
        <v/>
      </c>
      <c r="N87" s="13">
        <f t="shared" ca="1" si="43"/>
        <v>2.3119801651363805E-2</v>
      </c>
      <c r="O87" s="13">
        <f t="shared" ca="1" si="44"/>
        <v>132.71947843137252</v>
      </c>
      <c r="P87" s="1366">
        <f t="shared" ca="1" si="44"/>
        <v>272.1163843137254</v>
      </c>
      <c r="Q87" s="13">
        <f t="shared" ca="1" si="45"/>
        <v>9.2479206605455225E-3</v>
      </c>
      <c r="R87" s="13">
        <f t="shared" ca="1" si="46"/>
        <v>53.087791372549013</v>
      </c>
      <c r="S87" s="1366">
        <f t="shared" ca="1" si="46"/>
        <v>108.84655372549018</v>
      </c>
      <c r="U87" s="13" t="str">
        <f t="shared" ca="1" si="26"/>
        <v/>
      </c>
      <c r="V87" s="13" t="str">
        <f t="shared" ca="1" si="27"/>
        <v/>
      </c>
      <c r="W87" s="13" t="str">
        <f t="shared" ca="1" si="41"/>
        <v/>
      </c>
      <c r="Y87" s="13" t="str">
        <f t="shared" ca="1" si="28"/>
        <v/>
      </c>
      <c r="Z87" s="13" t="str">
        <f t="shared" ca="1" si="29"/>
        <v/>
      </c>
      <c r="AA87" s="13" t="str">
        <f t="shared" ca="1" si="42"/>
        <v/>
      </c>
    </row>
    <row r="88" spans="1:27" x14ac:dyDescent="0.25">
      <c r="A88" s="1363">
        <v>0.84</v>
      </c>
      <c r="B88" s="13">
        <f t="shared" si="30"/>
        <v>5.0599999999999999E-2</v>
      </c>
      <c r="C88" s="1364">
        <f t="shared" si="31"/>
        <v>106.81</v>
      </c>
      <c r="D88" s="1364">
        <f ca="1">B88*'Ввод исходных данных'!$G$285+C88+IF('Ввод исходных данных'!$D$159=0,7,10)</f>
        <v>397.00807999999995</v>
      </c>
      <c r="E88" s="1431" t="str">
        <f t="shared" ca="1" si="32"/>
        <v/>
      </c>
      <c r="F88" s="1364" t="str">
        <f t="shared" ca="1" si="33"/>
        <v/>
      </c>
      <c r="G88" s="1364" t="str">
        <f t="shared" ca="1" si="34"/>
        <v/>
      </c>
      <c r="H88" s="1364" t="str">
        <f t="shared" ca="1" si="35"/>
        <v/>
      </c>
      <c r="I88" s="1364" t="str">
        <f t="shared" ca="1" si="36"/>
        <v/>
      </c>
      <c r="J88" s="1364" t="str">
        <f t="shared" ca="1" si="37"/>
        <v/>
      </c>
      <c r="K88" s="1364" t="str">
        <f t="shared" ca="1" si="38"/>
        <v/>
      </c>
      <c r="L88" s="1364">
        <f t="shared" ca="1" si="39"/>
        <v>397.00807999999995</v>
      </c>
      <c r="M88" s="1364" t="str">
        <f t="shared" ca="1" si="40"/>
        <v/>
      </c>
      <c r="N88" s="13">
        <f t="shared" ca="1" si="43"/>
        <v>2.3119801651363805E-2</v>
      </c>
      <c r="O88" s="13">
        <f t="shared" ca="1" si="44"/>
        <v>132.71947843137252</v>
      </c>
      <c r="P88" s="1366">
        <f t="shared" ca="1" si="44"/>
        <v>272.1163843137254</v>
      </c>
      <c r="Q88" s="13">
        <f t="shared" ca="1" si="45"/>
        <v>9.2479206605455225E-3</v>
      </c>
      <c r="R88" s="13">
        <f t="shared" ca="1" si="46"/>
        <v>53.087791372549013</v>
      </c>
      <c r="S88" s="1366">
        <f t="shared" ca="1" si="46"/>
        <v>108.84655372549018</v>
      </c>
      <c r="U88" s="13" t="str">
        <f t="shared" ca="1" si="26"/>
        <v/>
      </c>
      <c r="V88" s="13" t="str">
        <f t="shared" ca="1" si="27"/>
        <v/>
      </c>
      <c r="W88" s="13" t="str">
        <f t="shared" ca="1" si="41"/>
        <v/>
      </c>
      <c r="Y88" s="13" t="str">
        <f t="shared" ca="1" si="28"/>
        <v/>
      </c>
      <c r="Z88" s="13" t="str">
        <f t="shared" ca="1" si="29"/>
        <v/>
      </c>
      <c r="AA88" s="13" t="str">
        <f t="shared" ca="1" si="42"/>
        <v/>
      </c>
    </row>
    <row r="89" spans="1:27" x14ac:dyDescent="0.25">
      <c r="A89" s="1363">
        <v>0.85</v>
      </c>
      <c r="B89" s="13">
        <f t="shared" si="30"/>
        <v>5.0999999999999997E-2</v>
      </c>
      <c r="C89" s="1364">
        <f t="shared" si="31"/>
        <v>107.89</v>
      </c>
      <c r="D89" s="1364">
        <f ca="1">B89*'Ввод исходных данных'!$G$285+C89+IF('Ввод исходных данных'!$D$159=0,7,10)</f>
        <v>400.32679999999993</v>
      </c>
      <c r="E89" s="1431" t="str">
        <f t="shared" ca="1" si="32"/>
        <v/>
      </c>
      <c r="F89" s="1364" t="str">
        <f t="shared" ca="1" si="33"/>
        <v/>
      </c>
      <c r="G89" s="1364" t="str">
        <f t="shared" ca="1" si="34"/>
        <v/>
      </c>
      <c r="H89" s="1364" t="str">
        <f t="shared" ca="1" si="35"/>
        <v/>
      </c>
      <c r="I89" s="1364" t="str">
        <f t="shared" ca="1" si="36"/>
        <v/>
      </c>
      <c r="J89" s="1364" t="str">
        <f t="shared" ca="1" si="37"/>
        <v/>
      </c>
      <c r="K89" s="1364" t="str">
        <f t="shared" ca="1" si="38"/>
        <v/>
      </c>
      <c r="L89" s="1364">
        <f t="shared" ca="1" si="39"/>
        <v>400.32679999999993</v>
      </c>
      <c r="M89" s="1364" t="str">
        <f t="shared" ca="1" si="40"/>
        <v/>
      </c>
      <c r="N89" s="13">
        <f t="shared" ca="1" si="43"/>
        <v>2.3119801651363805E-2</v>
      </c>
      <c r="O89" s="13">
        <f t="shared" ca="1" si="44"/>
        <v>132.71947843137252</v>
      </c>
      <c r="P89" s="1366">
        <f t="shared" ca="1" si="44"/>
        <v>272.1163843137254</v>
      </c>
      <c r="Q89" s="13">
        <f t="shared" ca="1" si="45"/>
        <v>9.2479206605455225E-3</v>
      </c>
      <c r="R89" s="13">
        <f t="shared" ca="1" si="46"/>
        <v>53.087791372549013</v>
      </c>
      <c r="S89" s="1366">
        <f t="shared" ca="1" si="46"/>
        <v>108.84655372549018</v>
      </c>
      <c r="U89" s="13" t="str">
        <f t="shared" ca="1" si="26"/>
        <v/>
      </c>
      <c r="V89" s="13" t="str">
        <f t="shared" ca="1" si="27"/>
        <v/>
      </c>
      <c r="W89" s="13" t="str">
        <f t="shared" ca="1" si="41"/>
        <v/>
      </c>
      <c r="Y89" s="13" t="str">
        <f t="shared" ca="1" si="28"/>
        <v/>
      </c>
      <c r="Z89" s="13" t="str">
        <f t="shared" ca="1" si="29"/>
        <v/>
      </c>
      <c r="AA89" s="13" t="str">
        <f t="shared" ca="1" si="42"/>
        <v/>
      </c>
    </row>
    <row r="90" spans="1:27" x14ac:dyDescent="0.25">
      <c r="A90" s="1363">
        <v>0.86</v>
      </c>
      <c r="B90" s="13">
        <f t="shared" si="30"/>
        <v>5.1499999999999997E-2</v>
      </c>
      <c r="C90" s="1364">
        <f t="shared" si="31"/>
        <v>109.03</v>
      </c>
      <c r="D90" s="1364">
        <f ca="1">B90*'Ввод исходных данных'!$G$285+C90+IF('Ввод исходных данных'!$D$159=0,7,10)</f>
        <v>404.26519999999994</v>
      </c>
      <c r="E90" s="1431" t="str">
        <f t="shared" ca="1" si="32"/>
        <v/>
      </c>
      <c r="F90" s="1364" t="str">
        <f t="shared" ca="1" si="33"/>
        <v/>
      </c>
      <c r="G90" s="1364" t="str">
        <f t="shared" ca="1" si="34"/>
        <v/>
      </c>
      <c r="H90" s="1364" t="str">
        <f t="shared" ca="1" si="35"/>
        <v/>
      </c>
      <c r="I90" s="1364" t="str">
        <f t="shared" ca="1" si="36"/>
        <v/>
      </c>
      <c r="J90" s="1364" t="str">
        <f t="shared" ca="1" si="37"/>
        <v/>
      </c>
      <c r="K90" s="1364" t="str">
        <f t="shared" ca="1" si="38"/>
        <v/>
      </c>
      <c r="L90" s="1364">
        <f t="shared" ca="1" si="39"/>
        <v>404.26519999999994</v>
      </c>
      <c r="M90" s="1364" t="str">
        <f t="shared" ca="1" si="40"/>
        <v/>
      </c>
      <c r="N90" s="13">
        <f t="shared" ca="1" si="43"/>
        <v>2.3119801651363805E-2</v>
      </c>
      <c r="O90" s="13">
        <f t="shared" ca="1" si="44"/>
        <v>132.71947843137252</v>
      </c>
      <c r="P90" s="1366">
        <f t="shared" ca="1" si="44"/>
        <v>272.1163843137254</v>
      </c>
      <c r="Q90" s="13">
        <f t="shared" ca="1" si="45"/>
        <v>9.2479206605455225E-3</v>
      </c>
      <c r="R90" s="13">
        <f t="shared" ca="1" si="46"/>
        <v>53.087791372549013</v>
      </c>
      <c r="S90" s="1366">
        <f t="shared" ca="1" si="46"/>
        <v>108.84655372549018</v>
      </c>
      <c r="U90" s="13" t="str">
        <f t="shared" ca="1" si="26"/>
        <v/>
      </c>
      <c r="V90" s="13">
        <f t="shared" ca="1" si="27"/>
        <v>109.52629968133131</v>
      </c>
      <c r="W90" s="13" t="str">
        <f t="shared" ca="1" si="41"/>
        <v/>
      </c>
      <c r="Y90" s="13" t="str">
        <f t="shared" ca="1" si="28"/>
        <v/>
      </c>
      <c r="Z90" s="13">
        <f t="shared" ca="1" si="29"/>
        <v>109.52629968133132</v>
      </c>
      <c r="AA90" s="13" t="str">
        <f t="shared" ca="1" si="42"/>
        <v/>
      </c>
    </row>
    <row r="91" spans="1:27" x14ac:dyDescent="0.25">
      <c r="A91" s="1363">
        <v>0.87</v>
      </c>
      <c r="B91" s="13">
        <f t="shared" si="30"/>
        <v>5.1999999999999998E-2</v>
      </c>
      <c r="C91" s="1364">
        <f t="shared" si="31"/>
        <v>110.59</v>
      </c>
      <c r="D91" s="1364">
        <f ca="1">B91*'Ввод исходных данных'!$G$285+C91+IF('Ввод исходных данных'!$D$159=0,7,10)</f>
        <v>408.6235999999999</v>
      </c>
      <c r="E91" s="1431" t="str">
        <f t="shared" ca="1" si="32"/>
        <v/>
      </c>
      <c r="F91" s="1364" t="str">
        <f t="shared" ca="1" si="33"/>
        <v/>
      </c>
      <c r="G91" s="1364" t="str">
        <f t="shared" ca="1" si="34"/>
        <v/>
      </c>
      <c r="H91" s="1364" t="str">
        <f t="shared" ca="1" si="35"/>
        <v/>
      </c>
      <c r="I91" s="1364" t="str">
        <f t="shared" ca="1" si="36"/>
        <v/>
      </c>
      <c r="J91" s="1364" t="str">
        <f t="shared" ca="1" si="37"/>
        <v/>
      </c>
      <c r="K91" s="1364" t="str">
        <f t="shared" ca="1" si="38"/>
        <v/>
      </c>
      <c r="L91" s="1364" t="str">
        <f t="shared" ca="1" si="39"/>
        <v/>
      </c>
      <c r="M91" s="1364">
        <f t="shared" ca="1" si="40"/>
        <v>408.6235999999999</v>
      </c>
      <c r="N91" s="13">
        <f t="shared" ca="1" si="43"/>
        <v>2.3119801651363805E-2</v>
      </c>
      <c r="O91" s="13">
        <f t="shared" ca="1" si="44"/>
        <v>132.71947843137252</v>
      </c>
      <c r="P91" s="1366">
        <f t="shared" ca="1" si="44"/>
        <v>272.1163843137254</v>
      </c>
      <c r="Q91" s="13">
        <f t="shared" ca="1" si="45"/>
        <v>9.2479206605455225E-3</v>
      </c>
      <c r="R91" s="13">
        <f t="shared" ca="1" si="46"/>
        <v>53.087791372549013</v>
      </c>
      <c r="S91" s="1366">
        <f t="shared" ca="1" si="46"/>
        <v>108.84655372549018</v>
      </c>
      <c r="U91" s="13" t="str">
        <f t="shared" ca="1" si="26"/>
        <v/>
      </c>
      <c r="V91" s="13" t="str">
        <f t="shared" ca="1" si="27"/>
        <v/>
      </c>
      <c r="W91" s="13" t="str">
        <f t="shared" ca="1" si="41"/>
        <v/>
      </c>
      <c r="Y91" s="13" t="str">
        <f t="shared" ca="1" si="28"/>
        <v/>
      </c>
      <c r="Z91" s="13" t="str">
        <f t="shared" ca="1" si="29"/>
        <v/>
      </c>
      <c r="AA91" s="13" t="str">
        <f t="shared" ca="1" si="42"/>
        <v/>
      </c>
    </row>
    <row r="92" spans="1:27" x14ac:dyDescent="0.25">
      <c r="A92" s="1363">
        <v>0.88</v>
      </c>
      <c r="B92" s="13">
        <f t="shared" si="30"/>
        <v>5.2600000000000001E-2</v>
      </c>
      <c r="C92" s="1364">
        <f t="shared" si="31"/>
        <v>111.79</v>
      </c>
      <c r="D92" s="1364">
        <f ca="1">B92*'Ввод исходных данных'!$G$285+C92+IF('Ввод исходных данных'!$D$159=0,7,10)</f>
        <v>413.18167999999997</v>
      </c>
      <c r="E92" s="1431" t="str">
        <f t="shared" ca="1" si="32"/>
        <v/>
      </c>
      <c r="F92" s="1364" t="str">
        <f t="shared" ca="1" si="33"/>
        <v/>
      </c>
      <c r="G92" s="1364" t="str">
        <f t="shared" ca="1" si="34"/>
        <v/>
      </c>
      <c r="H92" s="1364" t="str">
        <f t="shared" ca="1" si="35"/>
        <v/>
      </c>
      <c r="I92" s="1364" t="str">
        <f t="shared" ca="1" si="36"/>
        <v/>
      </c>
      <c r="J92" s="1364" t="str">
        <f t="shared" ca="1" si="37"/>
        <v/>
      </c>
      <c r="K92" s="1364" t="str">
        <f t="shared" ca="1" si="38"/>
        <v/>
      </c>
      <c r="L92" s="1364" t="str">
        <f t="shared" ca="1" si="39"/>
        <v/>
      </c>
      <c r="M92" s="1364">
        <f t="shared" ca="1" si="40"/>
        <v>413.18167999999997</v>
      </c>
      <c r="N92" s="13">
        <f t="shared" ca="1" si="43"/>
        <v>2.3119801651363805E-2</v>
      </c>
      <c r="O92" s="13">
        <f t="shared" ca="1" si="44"/>
        <v>132.71947843137252</v>
      </c>
      <c r="P92" s="1366">
        <f t="shared" ca="1" si="44"/>
        <v>272.1163843137254</v>
      </c>
      <c r="Q92" s="13">
        <f t="shared" ca="1" si="45"/>
        <v>9.2479206605455225E-3</v>
      </c>
      <c r="R92" s="13">
        <f t="shared" ca="1" si="46"/>
        <v>53.087791372549013</v>
      </c>
      <c r="S92" s="1366">
        <f t="shared" ca="1" si="46"/>
        <v>108.84655372549018</v>
      </c>
      <c r="U92" s="13" t="str">
        <f t="shared" ca="1" si="26"/>
        <v/>
      </c>
      <c r="V92" s="13" t="str">
        <f t="shared" ca="1" si="27"/>
        <v/>
      </c>
      <c r="W92" s="13" t="str">
        <f t="shared" ca="1" si="41"/>
        <v/>
      </c>
      <c r="Y92" s="13" t="str">
        <f t="shared" ca="1" si="28"/>
        <v/>
      </c>
      <c r="Z92" s="13" t="str">
        <f t="shared" ca="1" si="29"/>
        <v/>
      </c>
      <c r="AA92" s="13" t="str">
        <f t="shared" ca="1" si="42"/>
        <v/>
      </c>
    </row>
    <row r="93" spans="1:27" x14ac:dyDescent="0.25">
      <c r="A93" s="1363">
        <v>0.89</v>
      </c>
      <c r="B93" s="13">
        <f t="shared" si="30"/>
        <v>5.3100000000000001E-2</v>
      </c>
      <c r="C93" s="1364">
        <f t="shared" si="31"/>
        <v>113.71</v>
      </c>
      <c r="D93" s="1364">
        <f ca="1">B93*'Ввод исходных данных'!$G$285+C93+IF('Ввод исходных данных'!$D$159=0,7,10)</f>
        <v>417.90007999999995</v>
      </c>
      <c r="E93" s="1431" t="str">
        <f t="shared" ca="1" si="32"/>
        <v/>
      </c>
      <c r="F93" s="1364" t="str">
        <f t="shared" ca="1" si="33"/>
        <v/>
      </c>
      <c r="G93" s="1364" t="str">
        <f t="shared" ca="1" si="34"/>
        <v/>
      </c>
      <c r="H93" s="1364" t="str">
        <f t="shared" ca="1" si="35"/>
        <v/>
      </c>
      <c r="I93" s="1364" t="str">
        <f t="shared" ca="1" si="36"/>
        <v/>
      </c>
      <c r="J93" s="1364" t="str">
        <f t="shared" ca="1" si="37"/>
        <v/>
      </c>
      <c r="K93" s="1364" t="str">
        <f t="shared" ca="1" si="38"/>
        <v/>
      </c>
      <c r="L93" s="1364" t="str">
        <f t="shared" ca="1" si="39"/>
        <v/>
      </c>
      <c r="M93" s="1364">
        <f t="shared" ca="1" si="40"/>
        <v>417.90007999999995</v>
      </c>
      <c r="N93" s="13">
        <f t="shared" ca="1" si="43"/>
        <v>2.3119801651363805E-2</v>
      </c>
      <c r="O93" s="13">
        <f t="shared" ca="1" si="44"/>
        <v>132.71947843137252</v>
      </c>
      <c r="P93" s="1366">
        <f t="shared" ca="1" si="44"/>
        <v>272.1163843137254</v>
      </c>
      <c r="Q93" s="13">
        <f t="shared" ca="1" si="45"/>
        <v>9.2479206605455225E-3</v>
      </c>
      <c r="R93" s="13">
        <f t="shared" ca="1" si="46"/>
        <v>53.087791372549013</v>
      </c>
      <c r="S93" s="1366">
        <f t="shared" ca="1" si="46"/>
        <v>108.84655372549018</v>
      </c>
      <c r="U93" s="13" t="str">
        <f t="shared" ca="1" si="26"/>
        <v/>
      </c>
      <c r="V93" s="13" t="str">
        <f t="shared" ca="1" si="27"/>
        <v/>
      </c>
      <c r="W93" s="13" t="str">
        <f t="shared" ca="1" si="41"/>
        <v/>
      </c>
      <c r="Y93" s="13" t="str">
        <f t="shared" ca="1" si="28"/>
        <v/>
      </c>
      <c r="Z93" s="13" t="str">
        <f t="shared" ca="1" si="29"/>
        <v/>
      </c>
      <c r="AA93" s="13" t="str">
        <f t="shared" ca="1" si="42"/>
        <v/>
      </c>
    </row>
    <row r="94" spans="1:27" x14ac:dyDescent="0.25">
      <c r="A94" s="1363">
        <v>0.9</v>
      </c>
      <c r="B94" s="13">
        <f t="shared" si="30"/>
        <v>5.3800000000000001E-2</v>
      </c>
      <c r="C94" s="1364">
        <f t="shared" si="31"/>
        <v>115.95</v>
      </c>
      <c r="D94" s="1364">
        <f ca="1">B94*'Ввод исходных данных'!$G$285+C94+IF('Ввод исходных данных'!$D$159=0,7,10)</f>
        <v>424.05783999999994</v>
      </c>
      <c r="E94" s="1431" t="str">
        <f t="shared" ca="1" si="32"/>
        <v/>
      </c>
      <c r="F94" s="1364" t="str">
        <f t="shared" ca="1" si="33"/>
        <v/>
      </c>
      <c r="G94" s="1364" t="str">
        <f t="shared" ca="1" si="34"/>
        <v/>
      </c>
      <c r="H94" s="1364" t="str">
        <f t="shared" ca="1" si="35"/>
        <v/>
      </c>
      <c r="I94" s="1364" t="str">
        <f t="shared" ca="1" si="36"/>
        <v/>
      </c>
      <c r="J94" s="1364" t="str">
        <f t="shared" ca="1" si="37"/>
        <v/>
      </c>
      <c r="K94" s="1364" t="str">
        <f t="shared" ca="1" si="38"/>
        <v/>
      </c>
      <c r="L94" s="1364" t="str">
        <f t="shared" ca="1" si="39"/>
        <v/>
      </c>
      <c r="M94" s="1364">
        <f t="shared" ca="1" si="40"/>
        <v>424.05783999999994</v>
      </c>
      <c r="N94" s="13">
        <f t="shared" ca="1" si="43"/>
        <v>2.3119801651363805E-2</v>
      </c>
      <c r="O94" s="13">
        <f t="shared" ca="1" si="44"/>
        <v>132.71947843137252</v>
      </c>
      <c r="P94" s="1366">
        <f t="shared" ca="1" si="44"/>
        <v>272.1163843137254</v>
      </c>
      <c r="Q94" s="13">
        <f t="shared" ca="1" si="45"/>
        <v>9.2479206605455225E-3</v>
      </c>
      <c r="R94" s="13">
        <f t="shared" ca="1" si="46"/>
        <v>53.087791372549013</v>
      </c>
      <c r="S94" s="1366">
        <f t="shared" ca="1" si="46"/>
        <v>108.84655372549018</v>
      </c>
      <c r="U94" s="13" t="str">
        <f t="shared" ca="1" si="26"/>
        <v/>
      </c>
      <c r="V94" s="13" t="str">
        <f t="shared" ca="1" si="27"/>
        <v/>
      </c>
      <c r="W94" s="13" t="str">
        <f t="shared" ca="1" si="41"/>
        <v/>
      </c>
      <c r="Y94" s="13" t="str">
        <f t="shared" ca="1" si="28"/>
        <v/>
      </c>
      <c r="Z94" s="13" t="str">
        <f t="shared" ca="1" si="29"/>
        <v/>
      </c>
      <c r="AA94" s="13" t="str">
        <f t="shared" ca="1" si="42"/>
        <v/>
      </c>
    </row>
    <row r="95" spans="1:27" x14ac:dyDescent="0.25">
      <c r="A95" s="1363">
        <v>0.91</v>
      </c>
      <c r="B95" s="13">
        <f t="shared" si="30"/>
        <v>5.45E-2</v>
      </c>
      <c r="C95" s="1364">
        <f t="shared" si="31"/>
        <v>117.64</v>
      </c>
      <c r="D95" s="1364">
        <f ca="1">B95*'Ввод исходных данных'!$G$285+C95+IF('Ввод исходных данных'!$D$159=0,7,10)</f>
        <v>429.66559999999993</v>
      </c>
      <c r="E95" s="1431" t="str">
        <f t="shared" ca="1" si="32"/>
        <v/>
      </c>
      <c r="F95" s="1364" t="str">
        <f t="shared" ca="1" si="33"/>
        <v/>
      </c>
      <c r="G95" s="1364" t="str">
        <f t="shared" ca="1" si="34"/>
        <v/>
      </c>
      <c r="H95" s="1364" t="str">
        <f t="shared" ca="1" si="35"/>
        <v/>
      </c>
      <c r="I95" s="1364" t="str">
        <f t="shared" ca="1" si="36"/>
        <v/>
      </c>
      <c r="J95" s="1364" t="str">
        <f t="shared" ca="1" si="37"/>
        <v/>
      </c>
      <c r="K95" s="1364" t="str">
        <f t="shared" ca="1" si="38"/>
        <v/>
      </c>
      <c r="L95" s="1364" t="str">
        <f t="shared" ca="1" si="39"/>
        <v/>
      </c>
      <c r="M95" s="1364">
        <f t="shared" ca="1" si="40"/>
        <v>429.66559999999993</v>
      </c>
      <c r="N95" s="13">
        <f t="shared" ca="1" si="43"/>
        <v>2.3119801651363805E-2</v>
      </c>
      <c r="O95" s="13">
        <f t="shared" ca="1" si="44"/>
        <v>132.71947843137252</v>
      </c>
      <c r="P95" s="1366">
        <f t="shared" ca="1" si="44"/>
        <v>272.1163843137254</v>
      </c>
      <c r="Q95" s="13">
        <f t="shared" ca="1" si="45"/>
        <v>9.2479206605455225E-3</v>
      </c>
      <c r="R95" s="13">
        <f t="shared" ca="1" si="46"/>
        <v>53.087791372549013</v>
      </c>
      <c r="S95" s="1366">
        <f t="shared" ca="1" si="46"/>
        <v>108.84655372549018</v>
      </c>
      <c r="U95" s="13" t="str">
        <f t="shared" ca="1" si="26"/>
        <v/>
      </c>
      <c r="V95" s="13" t="str">
        <f t="shared" ca="1" si="27"/>
        <v/>
      </c>
      <c r="W95" s="13" t="str">
        <f t="shared" ca="1" si="41"/>
        <v/>
      </c>
      <c r="Y95" s="13" t="str">
        <f t="shared" ca="1" si="28"/>
        <v/>
      </c>
      <c r="Z95" s="13" t="str">
        <f t="shared" ca="1" si="29"/>
        <v/>
      </c>
      <c r="AA95" s="13" t="str">
        <f t="shared" ca="1" si="42"/>
        <v/>
      </c>
    </row>
    <row r="96" spans="1:27" x14ac:dyDescent="0.25">
      <c r="A96" s="1363">
        <v>0.92</v>
      </c>
      <c r="B96" s="13">
        <f t="shared" si="30"/>
        <v>5.5300000000000002E-2</v>
      </c>
      <c r="C96" s="1364">
        <f t="shared" si="31"/>
        <v>118.82</v>
      </c>
      <c r="D96" s="1364">
        <f ca="1">B96*'Ввод исходных данных'!$G$285+C96+IF('Ввод исходных данных'!$D$159=0,7,10)</f>
        <v>435.32303999999999</v>
      </c>
      <c r="E96" s="1431" t="str">
        <f t="shared" ca="1" si="32"/>
        <v/>
      </c>
      <c r="F96" s="1364" t="str">
        <f t="shared" ca="1" si="33"/>
        <v/>
      </c>
      <c r="G96" s="1364" t="str">
        <f t="shared" ca="1" si="34"/>
        <v/>
      </c>
      <c r="H96" s="1364" t="str">
        <f t="shared" ca="1" si="35"/>
        <v/>
      </c>
      <c r="I96" s="1364" t="str">
        <f t="shared" ca="1" si="36"/>
        <v/>
      </c>
      <c r="J96" s="1364" t="str">
        <f t="shared" ca="1" si="37"/>
        <v/>
      </c>
      <c r="K96" s="1364" t="str">
        <f t="shared" ca="1" si="38"/>
        <v/>
      </c>
      <c r="L96" s="1364" t="str">
        <f t="shared" ca="1" si="39"/>
        <v/>
      </c>
      <c r="M96" s="1364">
        <f t="shared" ca="1" si="40"/>
        <v>435.32303999999999</v>
      </c>
      <c r="N96" s="13">
        <f t="shared" ca="1" si="43"/>
        <v>2.3119801651363805E-2</v>
      </c>
      <c r="O96" s="13">
        <f t="shared" ca="1" si="44"/>
        <v>132.71947843137252</v>
      </c>
      <c r="P96" s="1366">
        <f t="shared" ca="1" si="44"/>
        <v>272.1163843137254</v>
      </c>
      <c r="Q96" s="13">
        <f t="shared" ca="1" si="45"/>
        <v>9.2479206605455225E-3</v>
      </c>
      <c r="R96" s="13">
        <f t="shared" ca="1" si="46"/>
        <v>53.087791372549013</v>
      </c>
      <c r="S96" s="1366">
        <f t="shared" ca="1" si="46"/>
        <v>108.84655372549018</v>
      </c>
      <c r="U96" s="13" t="str">
        <f t="shared" ca="1" si="26"/>
        <v/>
      </c>
      <c r="V96" s="13" t="str">
        <f t="shared" ca="1" si="27"/>
        <v/>
      </c>
      <c r="W96" s="13" t="str">
        <f t="shared" ca="1" si="41"/>
        <v/>
      </c>
      <c r="Y96" s="13" t="str">
        <f t="shared" ca="1" si="28"/>
        <v/>
      </c>
      <c r="Z96" s="13" t="str">
        <f t="shared" ca="1" si="29"/>
        <v/>
      </c>
      <c r="AA96" s="13" t="str">
        <f t="shared" ca="1" si="42"/>
        <v/>
      </c>
    </row>
    <row r="97" spans="1:27" x14ac:dyDescent="0.25">
      <c r="A97" s="1363">
        <v>0.93</v>
      </c>
      <c r="B97" s="13">
        <f t="shared" si="30"/>
        <v>5.6000000000000001E-2</v>
      </c>
      <c r="C97" s="1364">
        <f t="shared" si="31"/>
        <v>120.76</v>
      </c>
      <c r="D97" s="1364">
        <f ca="1">B97*'Ввод исходных данных'!$G$285+C97+IF('Ввод исходных данных'!$D$159=0,7,10)</f>
        <v>441.18079999999998</v>
      </c>
      <c r="E97" s="1431" t="str">
        <f t="shared" ca="1" si="32"/>
        <v/>
      </c>
      <c r="F97" s="1364" t="str">
        <f t="shared" ca="1" si="33"/>
        <v/>
      </c>
      <c r="G97" s="1364" t="str">
        <f t="shared" ca="1" si="34"/>
        <v/>
      </c>
      <c r="H97" s="1364" t="str">
        <f t="shared" ca="1" si="35"/>
        <v/>
      </c>
      <c r="I97" s="1364" t="str">
        <f t="shared" ca="1" si="36"/>
        <v/>
      </c>
      <c r="J97" s="1364" t="str">
        <f t="shared" ca="1" si="37"/>
        <v/>
      </c>
      <c r="K97" s="1364" t="str">
        <f t="shared" ca="1" si="38"/>
        <v/>
      </c>
      <c r="L97" s="1364" t="str">
        <f t="shared" ca="1" si="39"/>
        <v/>
      </c>
      <c r="M97" s="1364">
        <f t="shared" ca="1" si="40"/>
        <v>441.18079999999998</v>
      </c>
      <c r="N97" s="13">
        <f t="shared" ca="1" si="43"/>
        <v>2.3119801651363805E-2</v>
      </c>
      <c r="O97" s="13">
        <f t="shared" ca="1" si="44"/>
        <v>132.71947843137252</v>
      </c>
      <c r="P97" s="1366">
        <f t="shared" ca="1" si="44"/>
        <v>272.1163843137254</v>
      </c>
      <c r="Q97" s="13">
        <f t="shared" ca="1" si="45"/>
        <v>9.2479206605455225E-3</v>
      </c>
      <c r="R97" s="13">
        <f t="shared" ca="1" si="46"/>
        <v>53.087791372549013</v>
      </c>
      <c r="S97" s="1366">
        <f t="shared" ca="1" si="46"/>
        <v>108.84655372549018</v>
      </c>
      <c r="U97" s="13" t="str">
        <f t="shared" ca="1" si="26"/>
        <v/>
      </c>
      <c r="V97" s="13" t="str">
        <f t="shared" ca="1" si="27"/>
        <v/>
      </c>
      <c r="W97" s="13" t="str">
        <f t="shared" ca="1" si="41"/>
        <v/>
      </c>
      <c r="Y97" s="13" t="str">
        <f t="shared" ca="1" si="28"/>
        <v/>
      </c>
      <c r="Z97" s="13" t="str">
        <f t="shared" ca="1" si="29"/>
        <v/>
      </c>
      <c r="AA97" s="13" t="str">
        <f t="shared" ca="1" si="42"/>
        <v/>
      </c>
    </row>
    <row r="98" spans="1:27" x14ac:dyDescent="0.25">
      <c r="A98" s="1363">
        <v>0.94</v>
      </c>
      <c r="B98" s="13">
        <f t="shared" si="30"/>
        <v>5.7000000000000002E-2</v>
      </c>
      <c r="C98" s="1364">
        <f t="shared" si="31"/>
        <v>123.68</v>
      </c>
      <c r="D98" s="1364">
        <f ca="1">B98*'Ввод исходных данных'!$G$285+C98+IF('Ввод исходных данных'!$D$159=0,7,10)</f>
        <v>449.69759999999997</v>
      </c>
      <c r="E98" s="1431" t="str">
        <f t="shared" ca="1" si="32"/>
        <v/>
      </c>
      <c r="F98" s="1364" t="str">
        <f t="shared" ca="1" si="33"/>
        <v/>
      </c>
      <c r="G98" s="1364" t="str">
        <f t="shared" ca="1" si="34"/>
        <v/>
      </c>
      <c r="H98" s="1364" t="str">
        <f t="shared" ca="1" si="35"/>
        <v/>
      </c>
      <c r="I98" s="1364" t="str">
        <f t="shared" ca="1" si="36"/>
        <v/>
      </c>
      <c r="J98" s="1364" t="str">
        <f t="shared" ca="1" si="37"/>
        <v/>
      </c>
      <c r="K98" s="1364" t="str">
        <f t="shared" ca="1" si="38"/>
        <v/>
      </c>
      <c r="L98" s="1364" t="str">
        <f t="shared" ca="1" si="39"/>
        <v/>
      </c>
      <c r="M98" s="1364">
        <f t="shared" ca="1" si="40"/>
        <v>449.69759999999997</v>
      </c>
      <c r="N98" s="13">
        <f t="shared" ca="1" si="43"/>
        <v>2.3119801651363805E-2</v>
      </c>
      <c r="O98" s="13">
        <f t="shared" ca="1" si="44"/>
        <v>132.71947843137252</v>
      </c>
      <c r="P98" s="1366">
        <f t="shared" ca="1" si="44"/>
        <v>272.1163843137254</v>
      </c>
      <c r="Q98" s="13">
        <f t="shared" ca="1" si="45"/>
        <v>9.2479206605455225E-3</v>
      </c>
      <c r="R98" s="13">
        <f t="shared" ca="1" si="46"/>
        <v>53.087791372549013</v>
      </c>
      <c r="S98" s="1366">
        <f t="shared" ca="1" si="46"/>
        <v>108.84655372549018</v>
      </c>
      <c r="U98" s="13" t="str">
        <f t="shared" ca="1" si="26"/>
        <v/>
      </c>
      <c r="V98" s="13" t="str">
        <f t="shared" ca="1" si="27"/>
        <v/>
      </c>
      <c r="W98" s="13" t="str">
        <f t="shared" ca="1" si="41"/>
        <v/>
      </c>
      <c r="Y98" s="13" t="str">
        <f t="shared" ca="1" si="28"/>
        <v/>
      </c>
      <c r="Z98" s="13" t="str">
        <f t="shared" ca="1" si="29"/>
        <v/>
      </c>
      <c r="AA98" s="13" t="str">
        <f t="shared" ca="1" si="42"/>
        <v/>
      </c>
    </row>
    <row r="99" spans="1:27" x14ac:dyDescent="0.25">
      <c r="A99" s="1363">
        <v>0.95</v>
      </c>
      <c r="B99" s="13">
        <f t="shared" si="30"/>
        <v>5.8099999999999999E-2</v>
      </c>
      <c r="C99" s="1364">
        <f t="shared" si="31"/>
        <v>127.3</v>
      </c>
      <c r="D99" s="1364">
        <f ca="1">B99*'Ввод исходных данных'!$G$285+C99+IF('Ввод исходных данных'!$D$159=0,7,10)</f>
        <v>459.47407999999996</v>
      </c>
      <c r="E99" s="1431" t="str">
        <f t="shared" ca="1" si="32"/>
        <v/>
      </c>
      <c r="F99" s="1364" t="str">
        <f t="shared" ca="1" si="33"/>
        <v/>
      </c>
      <c r="G99" s="1364" t="str">
        <f t="shared" ca="1" si="34"/>
        <v/>
      </c>
      <c r="H99" s="1364" t="str">
        <f t="shared" ca="1" si="35"/>
        <v/>
      </c>
      <c r="I99" s="1364" t="str">
        <f t="shared" ca="1" si="36"/>
        <v/>
      </c>
      <c r="J99" s="1364" t="str">
        <f t="shared" ca="1" si="37"/>
        <v/>
      </c>
      <c r="K99" s="1364" t="str">
        <f t="shared" ca="1" si="38"/>
        <v/>
      </c>
      <c r="L99" s="1364" t="str">
        <f t="shared" ca="1" si="39"/>
        <v/>
      </c>
      <c r="M99" s="1364">
        <f t="shared" ca="1" si="40"/>
        <v>459.47407999999996</v>
      </c>
      <c r="N99" s="13">
        <f t="shared" ca="1" si="43"/>
        <v>2.3119801651363805E-2</v>
      </c>
      <c r="O99" s="13">
        <f t="shared" ca="1" si="44"/>
        <v>132.71947843137252</v>
      </c>
      <c r="P99" s="1366">
        <f t="shared" ca="1" si="44"/>
        <v>272.1163843137254</v>
      </c>
      <c r="Q99" s="13">
        <f t="shared" ca="1" si="45"/>
        <v>9.2479206605455225E-3</v>
      </c>
      <c r="R99" s="13">
        <f t="shared" ca="1" si="46"/>
        <v>53.087791372549013</v>
      </c>
      <c r="S99" s="1366">
        <f t="shared" ca="1" si="46"/>
        <v>108.84655372549018</v>
      </c>
      <c r="U99" s="13" t="str">
        <f t="shared" ca="1" si="26"/>
        <v/>
      </c>
      <c r="V99" s="13" t="str">
        <f t="shared" ca="1" si="27"/>
        <v/>
      </c>
      <c r="W99" s="13" t="str">
        <f t="shared" ca="1" si="41"/>
        <v/>
      </c>
      <c r="Y99" s="13" t="str">
        <f t="shared" ca="1" si="28"/>
        <v/>
      </c>
      <c r="Z99" s="13" t="str">
        <f t="shared" ca="1" si="29"/>
        <v/>
      </c>
      <c r="AA99" s="13" t="str">
        <f t="shared" ca="1" si="42"/>
        <v/>
      </c>
    </row>
    <row r="100" spans="1:27" x14ac:dyDescent="0.25">
      <c r="A100" s="1363">
        <v>0.96</v>
      </c>
      <c r="B100" s="13">
        <f t="shared" si="30"/>
        <v>5.91E-2</v>
      </c>
      <c r="C100" s="1364">
        <f t="shared" si="31"/>
        <v>132.15</v>
      </c>
      <c r="D100" s="1364">
        <f ca="1">B100*'Ввод исходных данных'!$G$285+C100+IF('Ввод исходных данных'!$D$159=0,7,10)</f>
        <v>469.92088000000001</v>
      </c>
      <c r="E100" s="1431" t="str">
        <f t="shared" ca="1" si="32"/>
        <v/>
      </c>
      <c r="F100" s="1364" t="str">
        <f t="shared" ca="1" si="33"/>
        <v/>
      </c>
      <c r="G100" s="1364" t="str">
        <f t="shared" ca="1" si="34"/>
        <v/>
      </c>
      <c r="H100" s="1364" t="str">
        <f t="shared" ca="1" si="35"/>
        <v/>
      </c>
      <c r="I100" s="1364" t="str">
        <f t="shared" ca="1" si="36"/>
        <v/>
      </c>
      <c r="J100" s="1364" t="str">
        <f t="shared" ca="1" si="37"/>
        <v/>
      </c>
      <c r="K100" s="1364" t="str">
        <f t="shared" ca="1" si="38"/>
        <v/>
      </c>
      <c r="L100" s="1364" t="str">
        <f t="shared" ca="1" si="39"/>
        <v/>
      </c>
      <c r="M100" s="1364">
        <f t="shared" ca="1" si="40"/>
        <v>469.92088000000001</v>
      </c>
      <c r="N100" s="13">
        <f t="shared" ca="1" si="43"/>
        <v>2.3119801651363805E-2</v>
      </c>
      <c r="O100" s="13">
        <f t="shared" ca="1" si="44"/>
        <v>132.71947843137252</v>
      </c>
      <c r="P100" s="1366">
        <f t="shared" ca="1" si="44"/>
        <v>272.1163843137254</v>
      </c>
      <c r="Q100" s="13">
        <f t="shared" ca="1" si="45"/>
        <v>9.2479206605455225E-3</v>
      </c>
      <c r="R100" s="13">
        <f t="shared" ca="1" si="46"/>
        <v>53.087791372549013</v>
      </c>
      <c r="S100" s="1366">
        <f t="shared" ca="1" si="46"/>
        <v>108.84655372549018</v>
      </c>
      <c r="U100" s="13" t="str">
        <f t="shared" ca="1" si="26"/>
        <v/>
      </c>
      <c r="V100" s="13" t="str">
        <f t="shared" ca="1" si="27"/>
        <v/>
      </c>
      <c r="W100" s="13" t="str">
        <f t="shared" ca="1" si="41"/>
        <v/>
      </c>
      <c r="Y100" s="13" t="str">
        <f t="shared" ca="1" si="28"/>
        <v/>
      </c>
      <c r="Z100" s="13" t="str">
        <f t="shared" ca="1" si="29"/>
        <v/>
      </c>
      <c r="AA100" s="13" t="str">
        <f t="shared" ca="1" si="42"/>
        <v/>
      </c>
    </row>
    <row r="101" spans="1:27" x14ac:dyDescent="0.25">
      <c r="A101" s="1363">
        <v>0.97</v>
      </c>
      <c r="B101" s="13">
        <f t="shared" si="30"/>
        <v>6.0100000000000001E-2</v>
      </c>
      <c r="C101" s="1364">
        <f t="shared" si="31"/>
        <v>140.19</v>
      </c>
      <c r="D101" s="1364">
        <f ca="1">B101*'Ввод исходных данных'!$G$285+C101+IF('Ввод исходных данных'!$D$159=0,7,10)</f>
        <v>483.55767999999995</v>
      </c>
      <c r="E101" s="1431" t="str">
        <f t="shared" ca="1" si="32"/>
        <v/>
      </c>
      <c r="F101" s="1364" t="str">
        <f t="shared" ca="1" si="33"/>
        <v/>
      </c>
      <c r="G101" s="1364" t="str">
        <f t="shared" ca="1" si="34"/>
        <v/>
      </c>
      <c r="H101" s="1364" t="str">
        <f t="shared" ca="1" si="35"/>
        <v/>
      </c>
      <c r="I101" s="1364" t="str">
        <f t="shared" ca="1" si="36"/>
        <v/>
      </c>
      <c r="J101" s="1364" t="str">
        <f t="shared" ca="1" si="37"/>
        <v/>
      </c>
      <c r="K101" s="1364" t="str">
        <f t="shared" ca="1" si="38"/>
        <v/>
      </c>
      <c r="L101" s="1364" t="str">
        <f t="shared" ca="1" si="39"/>
        <v/>
      </c>
      <c r="M101" s="1364">
        <f t="shared" ca="1" si="40"/>
        <v>483.55767999999995</v>
      </c>
      <c r="N101" s="13">
        <f t="shared" ca="1" si="43"/>
        <v>2.3119801651363805E-2</v>
      </c>
      <c r="O101" s="13">
        <f t="shared" ca="1" si="44"/>
        <v>132.71947843137252</v>
      </c>
      <c r="P101" s="1366">
        <f t="shared" ca="1" si="44"/>
        <v>272.1163843137254</v>
      </c>
      <c r="Q101" s="13">
        <f t="shared" ca="1" si="45"/>
        <v>9.2479206605455225E-3</v>
      </c>
      <c r="R101" s="13">
        <f t="shared" ca="1" si="46"/>
        <v>53.087791372549013</v>
      </c>
      <c r="S101" s="1366">
        <f t="shared" ca="1" si="46"/>
        <v>108.84655372549018</v>
      </c>
      <c r="U101" s="13" t="str">
        <f t="shared" ca="1" si="26"/>
        <v/>
      </c>
      <c r="V101" s="13" t="str">
        <f t="shared" ca="1" si="27"/>
        <v/>
      </c>
      <c r="W101" s="13" t="str">
        <f t="shared" ca="1" si="41"/>
        <v/>
      </c>
      <c r="Y101" s="13" t="str">
        <f t="shared" ca="1" si="28"/>
        <v/>
      </c>
      <c r="Z101" s="13" t="str">
        <f t="shared" ca="1" si="29"/>
        <v/>
      </c>
      <c r="AA101" s="13" t="str">
        <f t="shared" ca="1" si="42"/>
        <v/>
      </c>
    </row>
    <row r="102" spans="1:27" x14ac:dyDescent="0.25">
      <c r="A102" s="1363">
        <v>0.98</v>
      </c>
      <c r="B102" s="13">
        <f t="shared" si="30"/>
        <v>6.08E-2</v>
      </c>
      <c r="C102" s="1364">
        <f t="shared" si="31"/>
        <v>145.26</v>
      </c>
      <c r="D102" s="1364">
        <f ca="1">B102*'Ввод исходных данных'!$G$285+C102+IF('Ввод исходных данных'!$D$159=0,7,10)</f>
        <v>492.54543999999993</v>
      </c>
      <c r="E102" s="1431" t="str">
        <f t="shared" ca="1" si="32"/>
        <v/>
      </c>
      <c r="F102" s="1364" t="str">
        <f t="shared" ca="1" si="33"/>
        <v/>
      </c>
      <c r="G102" s="1364" t="str">
        <f t="shared" ca="1" si="34"/>
        <v/>
      </c>
      <c r="H102" s="1364" t="str">
        <f t="shared" ca="1" si="35"/>
        <v/>
      </c>
      <c r="I102" s="1364" t="str">
        <f t="shared" ca="1" si="36"/>
        <v/>
      </c>
      <c r="J102" s="1364" t="str">
        <f t="shared" ca="1" si="37"/>
        <v/>
      </c>
      <c r="K102" s="1364" t="str">
        <f t="shared" ca="1" si="38"/>
        <v/>
      </c>
      <c r="L102" s="1364" t="str">
        <f t="shared" ca="1" si="39"/>
        <v/>
      </c>
      <c r="M102" s="1364">
        <f t="shared" ca="1" si="40"/>
        <v>492.54543999999993</v>
      </c>
      <c r="N102" s="13">
        <f t="shared" ca="1" si="43"/>
        <v>2.3119801651363805E-2</v>
      </c>
      <c r="O102" s="13">
        <f t="shared" ca="1" si="44"/>
        <v>132.71947843137252</v>
      </c>
      <c r="P102" s="1366">
        <f t="shared" ca="1" si="44"/>
        <v>272.1163843137254</v>
      </c>
      <c r="Q102" s="13">
        <f t="shared" ca="1" si="45"/>
        <v>9.2479206605455225E-3</v>
      </c>
      <c r="R102" s="13">
        <f t="shared" ca="1" si="46"/>
        <v>53.087791372549013</v>
      </c>
      <c r="S102" s="1366">
        <f t="shared" ca="1" si="46"/>
        <v>108.84655372549018</v>
      </c>
      <c r="U102" s="13" t="str">
        <f t="shared" ca="1" si="26"/>
        <v/>
      </c>
      <c r="V102" s="13" t="str">
        <f t="shared" ca="1" si="27"/>
        <v/>
      </c>
      <c r="W102" s="13" t="str">
        <f t="shared" ca="1" si="41"/>
        <v/>
      </c>
      <c r="Y102" s="13" t="str">
        <f t="shared" ca="1" si="28"/>
        <v/>
      </c>
      <c r="Z102" s="13" t="str">
        <f t="shared" ca="1" si="29"/>
        <v/>
      </c>
      <c r="AA102" s="13" t="str">
        <f t="shared" ca="1" si="42"/>
        <v/>
      </c>
    </row>
    <row r="103" spans="1:27" x14ac:dyDescent="0.25">
      <c r="A103" s="1363">
        <v>0.99</v>
      </c>
      <c r="B103" s="13">
        <f t="shared" si="30"/>
        <v>6.2199999999999998E-2</v>
      </c>
      <c r="C103" s="1364">
        <f t="shared" si="31"/>
        <v>155.91999999999999</v>
      </c>
      <c r="D103" s="1364">
        <f ca="1">B103*'Ввод исходных данных'!$G$285+C103+IF('Ввод исходных данных'!$D$159=0,7,10)</f>
        <v>511.04095999999993</v>
      </c>
      <c r="E103" s="1431" t="str">
        <f t="shared" ca="1" si="32"/>
        <v/>
      </c>
      <c r="F103" s="1364" t="str">
        <f t="shared" ca="1" si="33"/>
        <v/>
      </c>
      <c r="G103" s="1364" t="str">
        <f t="shared" ca="1" si="34"/>
        <v/>
      </c>
      <c r="H103" s="1364" t="str">
        <f t="shared" ca="1" si="35"/>
        <v/>
      </c>
      <c r="I103" s="1364" t="str">
        <f t="shared" ca="1" si="36"/>
        <v/>
      </c>
      <c r="J103" s="1364" t="str">
        <f t="shared" ca="1" si="37"/>
        <v/>
      </c>
      <c r="K103" s="1364" t="str">
        <f t="shared" ca="1" si="38"/>
        <v/>
      </c>
      <c r="L103" s="1364" t="str">
        <f t="shared" ca="1" si="39"/>
        <v/>
      </c>
      <c r="M103" s="1364">
        <f t="shared" ca="1" si="40"/>
        <v>511.04095999999993</v>
      </c>
      <c r="N103" s="13">
        <f t="shared" ca="1" si="43"/>
        <v>2.3119801651363805E-2</v>
      </c>
      <c r="O103" s="13">
        <f t="shared" ca="1" si="44"/>
        <v>132.71947843137252</v>
      </c>
      <c r="P103" s="1366">
        <f t="shared" ca="1" si="44"/>
        <v>272.1163843137254</v>
      </c>
      <c r="Q103" s="13">
        <f t="shared" ca="1" si="45"/>
        <v>9.2479206605455225E-3</v>
      </c>
      <c r="R103" s="13">
        <f t="shared" ca="1" si="46"/>
        <v>53.087791372549013</v>
      </c>
      <c r="S103" s="1366">
        <f t="shared" ca="1" si="46"/>
        <v>108.84655372549018</v>
      </c>
      <c r="U103" s="13" t="str">
        <f t="shared" ca="1" si="26"/>
        <v/>
      </c>
      <c r="V103" s="13" t="str">
        <f t="shared" ca="1" si="27"/>
        <v/>
      </c>
      <c r="W103" s="13" t="str">
        <f t="shared" ca="1" si="41"/>
        <v/>
      </c>
      <c r="Y103" s="13" t="str">
        <f t="shared" ca="1" si="28"/>
        <v/>
      </c>
      <c r="Z103" s="13" t="str">
        <f t="shared" ca="1" si="29"/>
        <v/>
      </c>
      <c r="AA103" s="13" t="str">
        <f ca="1">IF(AND($AA$3&gt;=SUM(E103:M103),$AA$3&lt;SUM(E104:M104)),$AA$3,"")</f>
        <v/>
      </c>
    </row>
    <row r="104" spans="1:27" x14ac:dyDescent="0.25">
      <c r="A104" s="1363">
        <v>1</v>
      </c>
      <c r="B104" s="13">
        <f t="shared" si="30"/>
        <v>6.4399999999999999E-2</v>
      </c>
      <c r="C104" s="1364">
        <f t="shared" si="31"/>
        <v>175.85</v>
      </c>
      <c r="D104" s="1364">
        <f ca="1">B104*'Ввод исходных данных'!$G$285+C104+IF('Ввод исходных данных'!$D$159=0,7,10)</f>
        <v>543.28391999999997</v>
      </c>
      <c r="E104" s="1431" t="str">
        <f t="shared" ca="1" si="32"/>
        <v/>
      </c>
      <c r="F104" s="1364" t="str">
        <f t="shared" ca="1" si="33"/>
        <v/>
      </c>
      <c r="G104" s="1364" t="str">
        <f t="shared" ca="1" si="34"/>
        <v/>
      </c>
      <c r="H104" s="1364" t="str">
        <f t="shared" ca="1" si="35"/>
        <v/>
      </c>
      <c r="I104" s="1364" t="str">
        <f t="shared" ca="1" si="36"/>
        <v/>
      </c>
      <c r="J104" s="1364" t="str">
        <f t="shared" ca="1" si="37"/>
        <v/>
      </c>
      <c r="K104" s="1364" t="str">
        <f t="shared" ca="1" si="38"/>
        <v/>
      </c>
      <c r="L104" s="1364" t="str">
        <f t="shared" ca="1" si="39"/>
        <v/>
      </c>
      <c r="M104" s="1364">
        <f t="shared" ca="1" si="40"/>
        <v>543.28391999999997</v>
      </c>
      <c r="N104" s="13">
        <f t="shared" ca="1" si="43"/>
        <v>2.3119801651363805E-2</v>
      </c>
      <c r="O104" s="13">
        <f t="shared" ca="1" si="44"/>
        <v>132.71947843137252</v>
      </c>
      <c r="P104" s="1366">
        <f t="shared" ca="1" si="44"/>
        <v>272.1163843137254</v>
      </c>
      <c r="Q104" s="13">
        <f t="shared" ca="1" si="45"/>
        <v>9.2479206605455225E-3</v>
      </c>
      <c r="R104" s="13">
        <f t="shared" ca="1" si="46"/>
        <v>53.087791372549013</v>
      </c>
      <c r="S104" s="1366">
        <f t="shared" ca="1" si="46"/>
        <v>108.84655372549018</v>
      </c>
      <c r="U104" s="13" t="str">
        <f ca="1">IF(AND($U$3&gt;=B104),$U$3,"")</f>
        <v/>
      </c>
      <c r="V104" s="13" t="str">
        <f ca="1">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1</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366">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0</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981</v>
      </c>
      <c r="B107" t="s">
        <v>1842</v>
      </c>
      <c r="C107" s="13" t="s">
        <v>1843</v>
      </c>
      <c r="D107" s="13" t="s">
        <v>1844</v>
      </c>
      <c r="E107" s="13" t="s">
        <v>1845</v>
      </c>
      <c r="F107" s="13" t="s">
        <v>1846</v>
      </c>
      <c r="G107" s="13" t="s">
        <v>1847</v>
      </c>
      <c r="H107" s="13" t="s">
        <v>1848</v>
      </c>
      <c r="I107" s="1366" t="s">
        <v>1849</v>
      </c>
      <c r="J107" s="13" t="s">
        <v>1850</v>
      </c>
      <c r="K107" s="13" t="s">
        <v>1851</v>
      </c>
      <c r="L107" t="s">
        <v>1852</v>
      </c>
      <c r="M107" t="s">
        <v>1853</v>
      </c>
    </row>
    <row r="108" spans="1:27" x14ac:dyDescent="0.25">
      <c r="A108" s="1365">
        <v>0</v>
      </c>
      <c r="B108">
        <v>1.2518611009768933E-2</v>
      </c>
      <c r="C108" s="13">
        <v>1.4047915768288561E-2</v>
      </c>
      <c r="D108">
        <v>1.2E-2</v>
      </c>
      <c r="E108">
        <v>1.2999999999999999E-2</v>
      </c>
      <c r="F108">
        <v>1.12E-2</v>
      </c>
      <c r="G108">
        <v>0.01</v>
      </c>
      <c r="H108">
        <v>1.26E-2</v>
      </c>
      <c r="I108" s="1366">
        <v>8.9999999999999993E-3</v>
      </c>
      <c r="J108">
        <v>0.01</v>
      </c>
      <c r="K108">
        <v>0.01</v>
      </c>
      <c r="L108">
        <v>9.4099272569436107E-3</v>
      </c>
      <c r="M108">
        <v>0.01</v>
      </c>
      <c r="N108" s="13">
        <f>$B$106*B108+$C$106*C108+$D$106*D108+$E$106*E108+$F$106*F108+$G$106*G108+$H$106*H108+$I$106*I108+$J$106*J108+$K$106*K108+$L$106*L108+$M$106*M108</f>
        <v>1.12E-2</v>
      </c>
    </row>
    <row r="109" spans="1:27" x14ac:dyDescent="0.25">
      <c r="A109" s="1365">
        <v>0.01</v>
      </c>
      <c r="B109">
        <v>1.2518611009768933E-2</v>
      </c>
      <c r="C109" s="13">
        <v>1.6744486152101039E-2</v>
      </c>
      <c r="D109">
        <v>1.2999999999999999E-2</v>
      </c>
      <c r="E109">
        <v>1.4E-2</v>
      </c>
      <c r="F109">
        <v>1.4500000000000001E-2</v>
      </c>
      <c r="G109">
        <v>0.01</v>
      </c>
      <c r="H109">
        <v>1.3899999999999999E-2</v>
      </c>
      <c r="I109" s="1366">
        <v>1.0200000000000001E-2</v>
      </c>
      <c r="J109">
        <v>1.6E-2</v>
      </c>
      <c r="K109">
        <v>1.234662179741482E-2</v>
      </c>
      <c r="L109">
        <v>1.5409927256943611E-2</v>
      </c>
      <c r="M109">
        <v>1.6E-2</v>
      </c>
      <c r="N109" s="13">
        <f t="shared" ref="N109:N172" si="47">$B$106*B109+$C$106*C109+$D$106*D109+$E$106*E109+$F$106*F109+$G$106*G109+$H$106*H109+$I$106*I109+$J$106*J109+$K$106*K109+$L$106*L109+$M$106*M109</f>
        <v>1.4500000000000001E-2</v>
      </c>
    </row>
    <row r="110" spans="1:27" x14ac:dyDescent="0.25">
      <c r="A110" s="1365">
        <v>0.02</v>
      </c>
      <c r="B110">
        <v>2.3730427195291521E-2</v>
      </c>
      <c r="C110" s="13">
        <v>1.7994539046042025E-2</v>
      </c>
      <c r="D110">
        <v>1.4E-2</v>
      </c>
      <c r="E110">
        <v>1.4999999999999999E-2</v>
      </c>
      <c r="F110">
        <v>1.7000000000000001E-2</v>
      </c>
      <c r="G110">
        <v>1.0999999999999999E-2</v>
      </c>
      <c r="H110">
        <v>1.6400000000000001E-2</v>
      </c>
      <c r="I110" s="1366">
        <v>1.0999999999999999E-2</v>
      </c>
      <c r="J110">
        <v>1.7000000000000001E-2</v>
      </c>
      <c r="K110">
        <v>1.325700504526809E-2</v>
      </c>
      <c r="L110">
        <v>1.7027405640847443E-2</v>
      </c>
      <c r="M110">
        <v>1.6E-2</v>
      </c>
      <c r="N110" s="13">
        <f t="shared" si="47"/>
        <v>1.7000000000000001E-2</v>
      </c>
    </row>
    <row r="111" spans="1:27" x14ac:dyDescent="0.25">
      <c r="A111" s="1365">
        <v>0.03</v>
      </c>
      <c r="B111">
        <v>2.8207780011331618E-2</v>
      </c>
      <c r="C111" s="13">
        <v>1.8587151483553447E-2</v>
      </c>
      <c r="D111">
        <v>1.6E-2</v>
      </c>
      <c r="E111">
        <v>1.4999999999999999E-2</v>
      </c>
      <c r="F111">
        <v>1.8499999999999999E-2</v>
      </c>
      <c r="G111">
        <v>1.0999999999999999E-2</v>
      </c>
      <c r="H111">
        <v>1.8499999999999999E-2</v>
      </c>
      <c r="I111" s="1366">
        <v>1.23E-2</v>
      </c>
      <c r="J111">
        <v>1.7999999999999999E-2</v>
      </c>
      <c r="K111">
        <v>1.4052958120005163E-2</v>
      </c>
      <c r="L111">
        <v>2.0340342096888515E-2</v>
      </c>
      <c r="M111">
        <v>2.1999999999999999E-2</v>
      </c>
      <c r="N111" s="13">
        <f t="shared" si="47"/>
        <v>1.8499999999999999E-2</v>
      </c>
    </row>
    <row r="112" spans="1:27" x14ac:dyDescent="0.25">
      <c r="A112" s="1365">
        <v>0.04</v>
      </c>
      <c r="B112">
        <v>3.1315578974189691E-2</v>
      </c>
      <c r="C112" s="13">
        <v>1.9213086603724425E-2</v>
      </c>
      <c r="D112">
        <v>1.7999999999999999E-2</v>
      </c>
      <c r="E112">
        <v>1.6E-2</v>
      </c>
      <c r="F112">
        <v>2.0199999999999999E-2</v>
      </c>
      <c r="G112">
        <v>1.2999999999999999E-2</v>
      </c>
      <c r="H112">
        <v>1.9800000000000002E-2</v>
      </c>
      <c r="I112" s="1366">
        <v>1.38E-2</v>
      </c>
      <c r="J112">
        <v>1.9E-2</v>
      </c>
      <c r="K112">
        <v>1.4822130137515242E-2</v>
      </c>
      <c r="L112">
        <v>2.3647531042765228E-2</v>
      </c>
      <c r="M112">
        <v>2.1999999999999999E-2</v>
      </c>
      <c r="N112" s="13">
        <f t="shared" si="47"/>
        <v>2.0199999999999999E-2</v>
      </c>
    </row>
    <row r="113" spans="1:14" x14ac:dyDescent="0.25">
      <c r="A113" s="1365">
        <v>0.05</v>
      </c>
      <c r="B113">
        <v>3.2711214641022224E-2</v>
      </c>
      <c r="C113" s="13">
        <v>2.0551086509565587E-2</v>
      </c>
      <c r="D113">
        <v>0.02</v>
      </c>
      <c r="E113">
        <v>1.6E-2</v>
      </c>
      <c r="F113">
        <v>2.18E-2</v>
      </c>
      <c r="G113">
        <v>1.2999999999999999E-2</v>
      </c>
      <c r="H113">
        <v>2.0899999999999998E-2</v>
      </c>
      <c r="I113" s="1366">
        <v>1.5100000000000001E-2</v>
      </c>
      <c r="J113">
        <v>2.1000000000000001E-2</v>
      </c>
      <c r="K113">
        <v>1.5620551011048823E-2</v>
      </c>
      <c r="L113">
        <v>2.405787392088762E-2</v>
      </c>
      <c r="M113">
        <v>2.5000000000000001E-2</v>
      </c>
      <c r="N113" s="13">
        <f t="shared" si="47"/>
        <v>2.18E-2</v>
      </c>
    </row>
    <row r="114" spans="1:14" x14ac:dyDescent="0.25">
      <c r="A114" s="1365">
        <v>0.06</v>
      </c>
      <c r="B114">
        <v>3.4561155794208036E-2</v>
      </c>
      <c r="C114" s="13">
        <v>2.0892659679225895E-2</v>
      </c>
      <c r="D114">
        <v>2.1999999999999999E-2</v>
      </c>
      <c r="E114">
        <v>1.7000000000000001E-2</v>
      </c>
      <c r="F114">
        <v>2.3300000000000001E-2</v>
      </c>
      <c r="G114">
        <v>1.4999999999999999E-2</v>
      </c>
      <c r="H114">
        <v>2.1899999999999999E-2</v>
      </c>
      <c r="I114" s="1366">
        <v>1.5699999999999999E-2</v>
      </c>
      <c r="J114">
        <v>2.1999999999999999E-2</v>
      </c>
      <c r="K114">
        <v>1.6369951330399042E-2</v>
      </c>
      <c r="L114">
        <v>2.5870648308864937E-2</v>
      </c>
      <c r="M114">
        <v>2.5000000000000001E-2</v>
      </c>
      <c r="N114" s="13">
        <f t="shared" si="47"/>
        <v>2.3300000000000001E-2</v>
      </c>
    </row>
    <row r="115" spans="1:14" x14ac:dyDescent="0.25">
      <c r="A115" s="1365">
        <v>7.0000000000000007E-2</v>
      </c>
      <c r="B115">
        <v>3.6167907269765195E-2</v>
      </c>
      <c r="C115" s="13">
        <v>2.1852629067088892E-2</v>
      </c>
      <c r="D115">
        <v>2.3E-2</v>
      </c>
      <c r="E115">
        <v>1.7999999999999999E-2</v>
      </c>
      <c r="F115">
        <v>2.46E-2</v>
      </c>
      <c r="G115">
        <v>1.4999999999999999E-2</v>
      </c>
      <c r="H115">
        <v>2.29E-2</v>
      </c>
      <c r="I115" s="1366">
        <v>1.6199999999999999E-2</v>
      </c>
      <c r="J115">
        <v>2.1999999999999999E-2</v>
      </c>
      <c r="K115">
        <v>1.6811995848327547E-2</v>
      </c>
      <c r="L115">
        <v>2.7492432232979699E-2</v>
      </c>
      <c r="M115">
        <v>2.8000000000000001E-2</v>
      </c>
      <c r="N115" s="13">
        <f t="shared" si="47"/>
        <v>2.46E-2</v>
      </c>
    </row>
    <row r="116" spans="1:14" x14ac:dyDescent="0.25">
      <c r="A116" s="1365">
        <v>0.08</v>
      </c>
      <c r="B116">
        <v>3.8090889275272773E-2</v>
      </c>
      <c r="C116" s="13">
        <v>2.3368432058205598E-2</v>
      </c>
      <c r="D116">
        <v>2.5000000000000001E-2</v>
      </c>
      <c r="E116">
        <v>1.7999999999999999E-2</v>
      </c>
      <c r="F116">
        <v>2.5600000000000001E-2</v>
      </c>
      <c r="G116">
        <v>1.6E-2</v>
      </c>
      <c r="H116">
        <v>2.3400000000000001E-2</v>
      </c>
      <c r="I116" s="1366">
        <v>1.66E-2</v>
      </c>
      <c r="J116">
        <v>2.5999999999999999E-2</v>
      </c>
      <c r="K116">
        <v>1.7752587690267739E-2</v>
      </c>
      <c r="L116">
        <v>3.0312879599075297E-2</v>
      </c>
      <c r="M116">
        <v>2.8000000000000001E-2</v>
      </c>
      <c r="N116" s="13">
        <f t="shared" si="47"/>
        <v>2.5600000000000001E-2</v>
      </c>
    </row>
    <row r="117" spans="1:14" x14ac:dyDescent="0.25">
      <c r="A117" s="1365">
        <v>0.09</v>
      </c>
      <c r="B117">
        <v>3.8998525963169502E-2</v>
      </c>
      <c r="C117" s="13">
        <v>2.414475391002224E-2</v>
      </c>
      <c r="D117">
        <v>2.5999999999999999E-2</v>
      </c>
      <c r="E117">
        <v>1.7999999999999999E-2</v>
      </c>
      <c r="F117">
        <v>2.64E-2</v>
      </c>
      <c r="G117">
        <v>1.6E-2</v>
      </c>
      <c r="H117">
        <v>2.3800000000000002E-2</v>
      </c>
      <c r="I117" s="1366">
        <v>1.7000000000000001E-2</v>
      </c>
      <c r="J117">
        <v>2.5999999999999999E-2</v>
      </c>
      <c r="K117">
        <v>1.8266019851654793E-2</v>
      </c>
      <c r="L117">
        <v>3.0872565525811201E-2</v>
      </c>
      <c r="M117">
        <v>3.1E-2</v>
      </c>
      <c r="N117" s="13">
        <f t="shared" si="47"/>
        <v>2.64E-2</v>
      </c>
    </row>
    <row r="118" spans="1:14" x14ac:dyDescent="0.25">
      <c r="A118" s="1365">
        <v>0.1</v>
      </c>
      <c r="B118">
        <v>4.0586187952889118E-2</v>
      </c>
      <c r="C118" s="13">
        <v>2.4522761015102632E-2</v>
      </c>
      <c r="D118">
        <v>2.7E-2</v>
      </c>
      <c r="E118">
        <v>1.9E-2</v>
      </c>
      <c r="F118">
        <v>2.7199999999999998E-2</v>
      </c>
      <c r="G118">
        <v>1.7000000000000001E-2</v>
      </c>
      <c r="H118">
        <v>2.4400000000000002E-2</v>
      </c>
      <c r="I118" s="1366">
        <v>1.7600000000000001E-2</v>
      </c>
      <c r="J118">
        <v>2.8000000000000001E-2</v>
      </c>
      <c r="K118">
        <v>1.8916997917546977E-2</v>
      </c>
      <c r="L118">
        <v>3.1251241226264839E-2</v>
      </c>
      <c r="M118">
        <v>3.1E-2</v>
      </c>
      <c r="N118" s="13">
        <f t="shared" si="47"/>
        <v>2.7199999999999998E-2</v>
      </c>
    </row>
    <row r="119" spans="1:14" x14ac:dyDescent="0.25">
      <c r="A119" s="1365">
        <v>0.11</v>
      </c>
      <c r="B119">
        <v>4.1791698663043698E-2</v>
      </c>
      <c r="C119" s="13">
        <v>2.5342519185278203E-2</v>
      </c>
      <c r="D119">
        <v>2.7E-2</v>
      </c>
      <c r="E119">
        <v>0.02</v>
      </c>
      <c r="F119">
        <v>2.8000000000000001E-2</v>
      </c>
      <c r="G119">
        <v>1.7000000000000001E-2</v>
      </c>
      <c r="H119">
        <v>2.4799999999999999E-2</v>
      </c>
      <c r="I119" s="1366">
        <v>1.7999999999999999E-2</v>
      </c>
      <c r="J119">
        <v>2.8000000000000001E-2</v>
      </c>
      <c r="K119">
        <v>1.9442595570374196E-2</v>
      </c>
      <c r="L119">
        <v>3.19958476783061E-2</v>
      </c>
      <c r="M119">
        <v>3.3000000000000002E-2</v>
      </c>
      <c r="N119" s="13">
        <f t="shared" si="47"/>
        <v>2.8000000000000001E-2</v>
      </c>
    </row>
    <row r="120" spans="1:14" x14ac:dyDescent="0.25">
      <c r="A120" s="1365">
        <v>0.12</v>
      </c>
      <c r="B120">
        <v>4.2662232746286007E-2</v>
      </c>
      <c r="C120" s="13">
        <v>2.5704335669128019E-2</v>
      </c>
      <c r="D120">
        <v>2.8000000000000001E-2</v>
      </c>
      <c r="E120">
        <v>0.02</v>
      </c>
      <c r="F120">
        <v>2.87E-2</v>
      </c>
      <c r="G120">
        <v>1.7999999999999999E-2</v>
      </c>
      <c r="H120">
        <v>2.53E-2</v>
      </c>
      <c r="I120" s="1366">
        <v>1.8599999999999998E-2</v>
      </c>
      <c r="J120">
        <v>2.9000000000000001E-2</v>
      </c>
      <c r="K120">
        <v>1.9817689612917907E-2</v>
      </c>
      <c r="L120">
        <v>3.2728869587910381E-2</v>
      </c>
      <c r="M120">
        <v>3.3000000000000002E-2</v>
      </c>
      <c r="N120" s="13">
        <f t="shared" si="47"/>
        <v>2.87E-2</v>
      </c>
    </row>
    <row r="121" spans="1:14" x14ac:dyDescent="0.25">
      <c r="A121" s="1365">
        <v>0.13</v>
      </c>
      <c r="B121">
        <v>4.3718239170003691E-2</v>
      </c>
      <c r="C121" s="13">
        <v>2.6228852246727122E-2</v>
      </c>
      <c r="D121">
        <v>2.9000000000000001E-2</v>
      </c>
      <c r="E121">
        <v>2.1000000000000001E-2</v>
      </c>
      <c r="F121">
        <v>2.92E-2</v>
      </c>
      <c r="G121">
        <v>1.7999999999999999E-2</v>
      </c>
      <c r="H121">
        <v>2.5700000000000001E-2</v>
      </c>
      <c r="I121" s="1366">
        <v>1.9300000000000001E-2</v>
      </c>
      <c r="J121">
        <v>2.9000000000000001E-2</v>
      </c>
      <c r="K121">
        <v>2.0378749311284718E-2</v>
      </c>
      <c r="L121">
        <v>3.3460169531503013E-2</v>
      </c>
      <c r="M121">
        <v>3.4000000000000002E-2</v>
      </c>
      <c r="N121" s="13">
        <f t="shared" si="47"/>
        <v>2.92E-2</v>
      </c>
    </row>
    <row r="122" spans="1:14" x14ac:dyDescent="0.25">
      <c r="A122" s="1365">
        <v>0.14000000000000001</v>
      </c>
      <c r="B122">
        <v>4.427244871091375E-2</v>
      </c>
      <c r="C122" s="13">
        <v>2.6600713942119512E-2</v>
      </c>
      <c r="D122">
        <v>0.03</v>
      </c>
      <c r="E122">
        <v>2.1000000000000001E-2</v>
      </c>
      <c r="F122">
        <v>2.9700000000000001E-2</v>
      </c>
      <c r="G122">
        <v>1.9E-2</v>
      </c>
      <c r="H122">
        <v>2.6200000000000001E-2</v>
      </c>
      <c r="I122" s="1366">
        <v>1.9800000000000002E-2</v>
      </c>
      <c r="J122">
        <v>3.1E-2</v>
      </c>
      <c r="K122">
        <v>2.1028110096437319E-2</v>
      </c>
      <c r="L122">
        <v>3.3866357879394404E-2</v>
      </c>
      <c r="M122">
        <v>3.4000000000000002E-2</v>
      </c>
      <c r="N122" s="13">
        <f t="shared" si="47"/>
        <v>2.9700000000000001E-2</v>
      </c>
    </row>
    <row r="123" spans="1:14" x14ac:dyDescent="0.25">
      <c r="A123" s="1365">
        <v>0.15</v>
      </c>
      <c r="B123">
        <v>4.4802375688124028E-2</v>
      </c>
      <c r="C123" s="13">
        <v>2.6726429576302866E-2</v>
      </c>
      <c r="D123">
        <v>3.1E-2</v>
      </c>
      <c r="E123">
        <v>2.1000000000000001E-2</v>
      </c>
      <c r="F123">
        <v>3.0099999999999998E-2</v>
      </c>
      <c r="G123">
        <v>1.9E-2</v>
      </c>
      <c r="H123">
        <v>2.6700000000000002E-2</v>
      </c>
      <c r="I123" s="1366">
        <v>2.0299999999999999E-2</v>
      </c>
      <c r="J123">
        <v>3.1E-2</v>
      </c>
      <c r="K123">
        <v>2.1399775730222333E-2</v>
      </c>
      <c r="L123">
        <v>3.4428427215100178E-2</v>
      </c>
      <c r="M123">
        <v>3.5000000000000003E-2</v>
      </c>
      <c r="N123" s="13">
        <f t="shared" si="47"/>
        <v>3.0099999999999998E-2</v>
      </c>
    </row>
    <row r="124" spans="1:14" x14ac:dyDescent="0.25">
      <c r="A124" s="1365">
        <v>0.16</v>
      </c>
      <c r="B124">
        <v>4.5009215790145864E-2</v>
      </c>
      <c r="C124" s="13">
        <v>2.7027709470229623E-2</v>
      </c>
      <c r="D124">
        <v>3.1E-2</v>
      </c>
      <c r="E124">
        <v>2.1999999999999999E-2</v>
      </c>
      <c r="F124">
        <v>3.0599999999999999E-2</v>
      </c>
      <c r="G124">
        <v>2.1000000000000001E-2</v>
      </c>
      <c r="H124">
        <v>2.7199999999999998E-2</v>
      </c>
      <c r="I124" s="1366">
        <v>2.07E-2</v>
      </c>
      <c r="J124">
        <v>3.2000000000000001E-2</v>
      </c>
      <c r="K124">
        <v>2.185637915131429E-2</v>
      </c>
      <c r="L124">
        <v>3.4605575642488062E-2</v>
      </c>
      <c r="M124">
        <v>3.5000000000000003E-2</v>
      </c>
      <c r="N124" s="13">
        <f t="shared" si="47"/>
        <v>3.0599999999999999E-2</v>
      </c>
    </row>
    <row r="125" spans="1:14" x14ac:dyDescent="0.25">
      <c r="A125" s="1365">
        <v>0.17</v>
      </c>
      <c r="B125">
        <v>4.5082021272042402E-2</v>
      </c>
      <c r="C125" s="13">
        <v>2.7665747119575829E-2</v>
      </c>
      <c r="D125">
        <v>3.2000000000000001E-2</v>
      </c>
      <c r="E125">
        <v>2.1999999999999999E-2</v>
      </c>
      <c r="F125">
        <v>3.1E-2</v>
      </c>
      <c r="G125">
        <v>2.1000000000000001E-2</v>
      </c>
      <c r="H125">
        <v>2.76E-2</v>
      </c>
      <c r="I125" s="1366">
        <v>2.1100000000000001E-2</v>
      </c>
      <c r="J125">
        <v>3.2000000000000001E-2</v>
      </c>
      <c r="K125">
        <v>2.1984020671084049E-2</v>
      </c>
      <c r="L125">
        <v>3.4817425366653887E-2</v>
      </c>
      <c r="M125">
        <v>3.5999999999999997E-2</v>
      </c>
      <c r="N125" s="13">
        <f t="shared" si="47"/>
        <v>3.1E-2</v>
      </c>
    </row>
    <row r="126" spans="1:14" x14ac:dyDescent="0.25">
      <c r="A126" s="1365">
        <v>0.18</v>
      </c>
      <c r="B126">
        <v>4.5168756818054739E-2</v>
      </c>
      <c r="C126" s="13">
        <v>2.8204982049412859E-2</v>
      </c>
      <c r="D126">
        <v>3.2000000000000001E-2</v>
      </c>
      <c r="E126">
        <v>2.1999999999999999E-2</v>
      </c>
      <c r="F126">
        <v>3.15E-2</v>
      </c>
      <c r="G126">
        <v>2.1999999999999999E-2</v>
      </c>
      <c r="H126">
        <v>2.8199999999999999E-2</v>
      </c>
      <c r="I126" s="1366">
        <v>2.1499999999999998E-2</v>
      </c>
      <c r="J126">
        <v>3.3000000000000002E-2</v>
      </c>
      <c r="K126">
        <v>2.2460605852421271E-2</v>
      </c>
      <c r="L126">
        <v>3.6471213550236498E-2</v>
      </c>
      <c r="M126">
        <v>3.5999999999999997E-2</v>
      </c>
      <c r="N126" s="13">
        <f t="shared" si="47"/>
        <v>3.15E-2</v>
      </c>
    </row>
    <row r="127" spans="1:14" x14ac:dyDescent="0.25">
      <c r="A127" s="1365">
        <v>0.19</v>
      </c>
      <c r="B127">
        <v>4.5617682523408448E-2</v>
      </c>
      <c r="C127" s="13">
        <v>2.8637196297272637E-2</v>
      </c>
      <c r="D127">
        <v>3.3000000000000002E-2</v>
      </c>
      <c r="E127">
        <v>2.3E-2</v>
      </c>
      <c r="F127">
        <v>3.1899999999999998E-2</v>
      </c>
      <c r="G127">
        <v>2.1999999999999999E-2</v>
      </c>
      <c r="H127">
        <v>2.8500000000000001E-2</v>
      </c>
      <c r="I127" s="1366">
        <v>2.1700000000000001E-2</v>
      </c>
      <c r="J127">
        <v>3.3000000000000002E-2</v>
      </c>
      <c r="K127">
        <v>2.2838194022122699E-2</v>
      </c>
      <c r="L127">
        <v>3.6728572993301969E-2</v>
      </c>
      <c r="M127">
        <v>3.6999999999999998E-2</v>
      </c>
      <c r="N127" s="13">
        <f t="shared" si="47"/>
        <v>3.1899999999999998E-2</v>
      </c>
    </row>
    <row r="128" spans="1:14" x14ac:dyDescent="0.25">
      <c r="A128" s="1365">
        <v>0.2</v>
      </c>
      <c r="B128">
        <v>4.6517433520909195E-2</v>
      </c>
      <c r="C128" s="13">
        <v>2.9059986982400851E-2</v>
      </c>
      <c r="D128">
        <v>3.3000000000000002E-2</v>
      </c>
      <c r="E128">
        <v>2.3E-2</v>
      </c>
      <c r="F128">
        <v>3.2300000000000002E-2</v>
      </c>
      <c r="G128">
        <v>2.3E-2</v>
      </c>
      <c r="H128">
        <v>2.8899999999999999E-2</v>
      </c>
      <c r="I128" s="1366">
        <v>2.1999999999999999E-2</v>
      </c>
      <c r="J128">
        <v>3.4000000000000002E-2</v>
      </c>
      <c r="K128">
        <v>2.3024044755924799E-2</v>
      </c>
      <c r="L128">
        <v>3.7221276778921654E-2</v>
      </c>
      <c r="M128">
        <v>3.6999999999999998E-2</v>
      </c>
      <c r="N128" s="13">
        <f t="shared" si="47"/>
        <v>3.2300000000000002E-2</v>
      </c>
    </row>
    <row r="129" spans="1:14" x14ac:dyDescent="0.25">
      <c r="A129" s="1365">
        <v>0.21</v>
      </c>
      <c r="B129">
        <v>4.7426905508617466E-2</v>
      </c>
      <c r="C129" s="13">
        <v>2.9390290978797352E-2</v>
      </c>
      <c r="D129">
        <v>3.4000000000000002E-2</v>
      </c>
      <c r="E129">
        <v>2.3E-2</v>
      </c>
      <c r="F129">
        <v>3.2800000000000003E-2</v>
      </c>
      <c r="G129">
        <v>2.3E-2</v>
      </c>
      <c r="H129">
        <v>2.92E-2</v>
      </c>
      <c r="I129" s="1366">
        <v>2.24E-2</v>
      </c>
      <c r="J129">
        <v>3.4000000000000002E-2</v>
      </c>
      <c r="K129">
        <v>2.337339301438951E-2</v>
      </c>
      <c r="L129">
        <v>3.7629890684089271E-2</v>
      </c>
      <c r="M129">
        <v>3.7999999999999999E-2</v>
      </c>
      <c r="N129" s="13">
        <f t="shared" si="47"/>
        <v>3.2800000000000003E-2</v>
      </c>
    </row>
    <row r="130" spans="1:14" x14ac:dyDescent="0.25">
      <c r="A130" s="1365">
        <v>0.22</v>
      </c>
      <c r="B130">
        <v>4.8355801953879153E-2</v>
      </c>
      <c r="C130" s="13">
        <v>2.9672242497434925E-2</v>
      </c>
      <c r="D130">
        <v>3.4000000000000002E-2</v>
      </c>
      <c r="E130">
        <v>2.4E-2</v>
      </c>
      <c r="F130">
        <v>3.32E-2</v>
      </c>
      <c r="G130">
        <v>2.3E-2</v>
      </c>
      <c r="H130">
        <v>2.9499999999999998E-2</v>
      </c>
      <c r="I130" s="1366">
        <v>2.3099999999999999E-2</v>
      </c>
      <c r="J130">
        <v>3.4000000000000002E-2</v>
      </c>
      <c r="K130">
        <v>2.3784054794430177E-2</v>
      </c>
      <c r="L130">
        <v>3.8222424475728732E-2</v>
      </c>
      <c r="M130">
        <v>3.7999999999999999E-2</v>
      </c>
      <c r="N130" s="13">
        <f t="shared" si="47"/>
        <v>3.32E-2</v>
      </c>
    </row>
    <row r="131" spans="1:14" x14ac:dyDescent="0.25">
      <c r="A131" s="1365">
        <v>0.23</v>
      </c>
      <c r="B131">
        <v>4.916526721425931E-2</v>
      </c>
      <c r="C131" s="13">
        <v>3.0039662349583936E-2</v>
      </c>
      <c r="D131">
        <v>3.5000000000000003E-2</v>
      </c>
      <c r="E131">
        <v>2.4E-2</v>
      </c>
      <c r="F131">
        <v>3.3599999999999998E-2</v>
      </c>
      <c r="G131">
        <v>2.3E-2</v>
      </c>
      <c r="H131">
        <v>2.98E-2</v>
      </c>
      <c r="I131" s="1366">
        <v>2.3400000000000001E-2</v>
      </c>
      <c r="J131">
        <v>3.4000000000000002E-2</v>
      </c>
      <c r="K131">
        <v>2.4037690526315283E-2</v>
      </c>
      <c r="L131">
        <v>3.856076114365764E-2</v>
      </c>
      <c r="M131">
        <v>3.9E-2</v>
      </c>
      <c r="N131" s="13">
        <f t="shared" si="47"/>
        <v>3.3599999999999998E-2</v>
      </c>
    </row>
    <row r="132" spans="1:14" x14ac:dyDescent="0.25">
      <c r="A132" s="1365">
        <v>0.24</v>
      </c>
      <c r="B132">
        <v>4.9775640895176429E-2</v>
      </c>
      <c r="C132" s="13">
        <v>3.0650000425583503E-2</v>
      </c>
      <c r="D132">
        <v>3.5000000000000003E-2</v>
      </c>
      <c r="E132">
        <v>2.4E-2</v>
      </c>
      <c r="F132">
        <v>3.4000000000000002E-2</v>
      </c>
      <c r="G132">
        <v>2.4E-2</v>
      </c>
      <c r="H132">
        <v>3.0200000000000001E-2</v>
      </c>
      <c r="I132" s="1366">
        <v>2.3699999999999999E-2</v>
      </c>
      <c r="J132">
        <v>3.5000000000000003E-2</v>
      </c>
      <c r="K132">
        <v>2.4182719469181484E-2</v>
      </c>
      <c r="L132">
        <v>3.9184574821927352E-2</v>
      </c>
      <c r="M132">
        <v>3.9E-2</v>
      </c>
      <c r="N132" s="13">
        <f t="shared" si="47"/>
        <v>3.4000000000000002E-2</v>
      </c>
    </row>
    <row r="133" spans="1:14" x14ac:dyDescent="0.25">
      <c r="A133" s="1365">
        <v>0.25</v>
      </c>
      <c r="B133">
        <v>5.0381056759138482E-2</v>
      </c>
      <c r="C133" s="13">
        <v>3.0905306722958832E-2</v>
      </c>
      <c r="D133">
        <v>3.5999999999999997E-2</v>
      </c>
      <c r="E133">
        <v>2.4E-2</v>
      </c>
      <c r="F133">
        <v>3.4299999999999997E-2</v>
      </c>
      <c r="G133">
        <v>2.4E-2</v>
      </c>
      <c r="H133">
        <v>3.04E-2</v>
      </c>
      <c r="I133" s="1366">
        <v>2.4E-2</v>
      </c>
      <c r="J133">
        <v>3.5000000000000003E-2</v>
      </c>
      <c r="K133">
        <v>2.4523814168516386E-2</v>
      </c>
      <c r="L133">
        <v>3.92559701969964E-2</v>
      </c>
      <c r="M133">
        <v>0.04</v>
      </c>
      <c r="N133" s="13">
        <f t="shared" si="47"/>
        <v>3.4299999999999997E-2</v>
      </c>
    </row>
    <row r="134" spans="1:14" x14ac:dyDescent="0.25">
      <c r="A134" s="1365">
        <v>0.26</v>
      </c>
      <c r="B134">
        <v>5.0742570966739307E-2</v>
      </c>
      <c r="C134" s="13">
        <v>3.1147892105285794E-2</v>
      </c>
      <c r="D134">
        <v>3.5999999999999997E-2</v>
      </c>
      <c r="E134">
        <v>2.4E-2</v>
      </c>
      <c r="F134">
        <v>3.4599999999999999E-2</v>
      </c>
      <c r="G134">
        <v>2.5000000000000001E-2</v>
      </c>
      <c r="H134">
        <v>3.09E-2</v>
      </c>
      <c r="I134" s="1366">
        <v>2.4299999999999999E-2</v>
      </c>
      <c r="J134">
        <v>3.5999999999999997E-2</v>
      </c>
      <c r="K134">
        <v>2.47151846103488E-2</v>
      </c>
      <c r="L134">
        <v>3.9383862902457066E-2</v>
      </c>
      <c r="M134">
        <v>0.04</v>
      </c>
      <c r="N134" s="13">
        <f t="shared" si="47"/>
        <v>3.4599999999999999E-2</v>
      </c>
    </row>
    <row r="135" spans="1:14" x14ac:dyDescent="0.25">
      <c r="A135" s="1365">
        <v>0.27</v>
      </c>
      <c r="B135">
        <v>5.0909083930084274E-2</v>
      </c>
      <c r="C135" s="13">
        <v>3.1447122860292581E-2</v>
      </c>
      <c r="D135">
        <v>3.5999999999999997E-2</v>
      </c>
      <c r="E135">
        <v>2.5000000000000001E-2</v>
      </c>
      <c r="F135">
        <v>3.5000000000000003E-2</v>
      </c>
      <c r="G135">
        <v>2.5000000000000001E-2</v>
      </c>
      <c r="H135">
        <v>3.1300000000000001E-2</v>
      </c>
      <c r="I135" s="1366">
        <v>2.46E-2</v>
      </c>
      <c r="J135">
        <v>3.5999999999999997E-2</v>
      </c>
      <c r="K135">
        <v>2.4992289286376076E-2</v>
      </c>
      <c r="L135">
        <v>3.9910711445470134E-2</v>
      </c>
      <c r="M135">
        <v>0.04</v>
      </c>
      <c r="N135" s="13">
        <f t="shared" si="47"/>
        <v>3.5000000000000003E-2</v>
      </c>
    </row>
    <row r="136" spans="1:14" x14ac:dyDescent="0.25">
      <c r="A136" s="1365">
        <v>0.28000000000000003</v>
      </c>
      <c r="B136">
        <v>5.1135859202961181E-2</v>
      </c>
      <c r="C136" s="13">
        <v>3.1701796813415749E-2</v>
      </c>
      <c r="D136">
        <v>3.6999999999999998E-2</v>
      </c>
      <c r="E136">
        <v>2.5000000000000001E-2</v>
      </c>
      <c r="F136">
        <v>3.5299999999999998E-2</v>
      </c>
      <c r="G136">
        <v>2.5999999999999999E-2</v>
      </c>
      <c r="H136">
        <v>3.15E-2</v>
      </c>
      <c r="I136" s="1366">
        <v>2.47E-2</v>
      </c>
      <c r="J136">
        <v>3.6999999999999998E-2</v>
      </c>
      <c r="K136">
        <v>2.5202479244295823E-2</v>
      </c>
      <c r="L136">
        <v>4.0272033102540482E-2</v>
      </c>
      <c r="M136">
        <v>0.04</v>
      </c>
      <c r="N136" s="13">
        <f t="shared" si="47"/>
        <v>3.5299999999999998E-2</v>
      </c>
    </row>
    <row r="137" spans="1:14" x14ac:dyDescent="0.25">
      <c r="A137" s="1365">
        <v>0.28999999999999998</v>
      </c>
      <c r="B137">
        <v>5.153380456137354E-2</v>
      </c>
      <c r="C137" s="13">
        <v>3.2210461894634564E-2</v>
      </c>
      <c r="D137">
        <v>3.6999999999999998E-2</v>
      </c>
      <c r="E137">
        <v>2.5000000000000001E-2</v>
      </c>
      <c r="F137">
        <v>3.56E-2</v>
      </c>
      <c r="G137">
        <v>2.5999999999999999E-2</v>
      </c>
      <c r="H137">
        <v>3.1899999999999998E-2</v>
      </c>
      <c r="I137" s="1366">
        <v>2.5000000000000001E-2</v>
      </c>
      <c r="J137">
        <v>3.6999999999999998E-2</v>
      </c>
      <c r="K137">
        <v>2.5457737912973628E-2</v>
      </c>
      <c r="L137">
        <v>4.0402740134908702E-2</v>
      </c>
      <c r="M137">
        <v>4.1000000000000002E-2</v>
      </c>
      <c r="N137" s="13">
        <f t="shared" si="47"/>
        <v>3.56E-2</v>
      </c>
    </row>
    <row r="138" spans="1:14" x14ac:dyDescent="0.25">
      <c r="A138" s="1365">
        <v>0.3</v>
      </c>
      <c r="B138">
        <v>5.1789172209903908E-2</v>
      </c>
      <c r="C138" s="13">
        <v>3.2586676169386014E-2</v>
      </c>
      <c r="D138">
        <v>3.6999999999999998E-2</v>
      </c>
      <c r="E138">
        <v>2.5999999999999999E-2</v>
      </c>
      <c r="F138">
        <v>3.5900000000000001E-2</v>
      </c>
      <c r="G138">
        <v>2.5999999999999999E-2</v>
      </c>
      <c r="H138">
        <v>3.2399999999999998E-2</v>
      </c>
      <c r="I138" s="1366">
        <v>2.5399999999999999E-2</v>
      </c>
      <c r="J138">
        <v>3.6999999999999998E-2</v>
      </c>
      <c r="K138">
        <v>2.5957346568731578E-2</v>
      </c>
      <c r="L138">
        <v>4.0605837544805186E-2</v>
      </c>
      <c r="M138">
        <v>4.1000000000000002E-2</v>
      </c>
      <c r="N138" s="13">
        <f t="shared" si="47"/>
        <v>3.5900000000000001E-2</v>
      </c>
    </row>
    <row r="139" spans="1:14" x14ac:dyDescent="0.25">
      <c r="A139" s="1365">
        <v>0.31</v>
      </c>
      <c r="B139">
        <v>5.2083811406984759E-2</v>
      </c>
      <c r="C139" s="13">
        <v>3.2853893033698331E-2</v>
      </c>
      <c r="D139">
        <v>3.7999999999999999E-2</v>
      </c>
      <c r="E139">
        <v>2.5999999999999999E-2</v>
      </c>
      <c r="F139">
        <v>3.6200000000000003E-2</v>
      </c>
      <c r="G139">
        <v>2.5999999999999999E-2</v>
      </c>
      <c r="H139">
        <v>3.27E-2</v>
      </c>
      <c r="I139" s="1366">
        <v>2.5700000000000001E-2</v>
      </c>
      <c r="J139">
        <v>3.6999999999999998E-2</v>
      </c>
      <c r="K139">
        <v>2.6246949567622781E-2</v>
      </c>
      <c r="L139">
        <v>4.0760910563487573E-2</v>
      </c>
      <c r="M139">
        <v>4.1000000000000002E-2</v>
      </c>
      <c r="N139" s="13">
        <f t="shared" si="47"/>
        <v>3.6200000000000003E-2</v>
      </c>
    </row>
    <row r="140" spans="1:14" x14ac:dyDescent="0.25">
      <c r="A140" s="1365">
        <v>0.32</v>
      </c>
      <c r="B140">
        <v>5.2555871911190287E-2</v>
      </c>
      <c r="C140" s="13">
        <v>3.3778225822532461E-2</v>
      </c>
      <c r="D140">
        <v>3.7999999999999999E-2</v>
      </c>
      <c r="E140">
        <v>2.5999999999999999E-2</v>
      </c>
      <c r="F140">
        <v>3.6600000000000001E-2</v>
      </c>
      <c r="G140">
        <v>2.7E-2</v>
      </c>
      <c r="H140">
        <v>3.3099999999999997E-2</v>
      </c>
      <c r="I140" s="1366">
        <v>2.5899999999999999E-2</v>
      </c>
      <c r="J140">
        <v>3.7999999999999999E-2</v>
      </c>
      <c r="K140">
        <v>2.669886829312202E-2</v>
      </c>
      <c r="L140">
        <v>4.1076705645151368E-2</v>
      </c>
      <c r="M140">
        <v>4.1000000000000002E-2</v>
      </c>
      <c r="N140" s="13">
        <f t="shared" si="47"/>
        <v>3.6600000000000001E-2</v>
      </c>
    </row>
    <row r="141" spans="1:14" x14ac:dyDescent="0.25">
      <c r="A141" s="1365">
        <v>0.33</v>
      </c>
      <c r="B141">
        <v>5.2884086679258833E-2</v>
      </c>
      <c r="C141" s="13">
        <v>3.4336497086751433E-2</v>
      </c>
      <c r="D141">
        <v>3.7999999999999999E-2</v>
      </c>
      <c r="E141">
        <v>2.7E-2</v>
      </c>
      <c r="F141">
        <v>3.6799999999999999E-2</v>
      </c>
      <c r="G141">
        <v>2.7E-2</v>
      </c>
      <c r="H141">
        <v>3.3700000000000001E-2</v>
      </c>
      <c r="I141" s="1366">
        <v>2.6200000000000001E-2</v>
      </c>
      <c r="J141">
        <v>3.7999999999999999E-2</v>
      </c>
      <c r="K141">
        <v>2.6864425871191835E-2</v>
      </c>
      <c r="L141">
        <v>4.1400305394836079E-2</v>
      </c>
      <c r="M141">
        <v>4.2000000000000003E-2</v>
      </c>
      <c r="N141" s="13">
        <f t="shared" si="47"/>
        <v>3.6799999999999999E-2</v>
      </c>
    </row>
    <row r="142" spans="1:14" x14ac:dyDescent="0.25">
      <c r="A142" s="1365">
        <v>0.34</v>
      </c>
      <c r="B142">
        <v>5.3277470173128672E-2</v>
      </c>
      <c r="C142" s="13">
        <v>3.5590154836656271E-2</v>
      </c>
      <c r="D142">
        <v>3.9E-2</v>
      </c>
      <c r="E142">
        <v>2.7E-2</v>
      </c>
      <c r="F142">
        <v>3.7100000000000001E-2</v>
      </c>
      <c r="G142">
        <v>2.7E-2</v>
      </c>
      <c r="H142">
        <v>3.39E-2</v>
      </c>
      <c r="I142" s="1366">
        <v>2.6499999999999999E-2</v>
      </c>
      <c r="J142">
        <v>3.9E-2</v>
      </c>
      <c r="K142">
        <v>2.7108844776049107E-2</v>
      </c>
      <c r="L142">
        <v>4.1687041456473735E-2</v>
      </c>
      <c r="M142">
        <v>4.2000000000000003E-2</v>
      </c>
      <c r="N142" s="13">
        <f t="shared" si="47"/>
        <v>3.7100000000000001E-2</v>
      </c>
    </row>
    <row r="143" spans="1:14" x14ac:dyDescent="0.25">
      <c r="A143" s="1365">
        <v>0.35</v>
      </c>
      <c r="B143">
        <v>5.3652490423361718E-2</v>
      </c>
      <c r="C143" s="13">
        <v>3.5797269568661409E-2</v>
      </c>
      <c r="D143">
        <v>3.9E-2</v>
      </c>
      <c r="E143">
        <v>2.8000000000000001E-2</v>
      </c>
      <c r="F143">
        <v>3.7400000000000003E-2</v>
      </c>
      <c r="G143">
        <v>2.7E-2</v>
      </c>
      <c r="H143">
        <v>3.4299999999999997E-2</v>
      </c>
      <c r="I143" s="1366">
        <v>2.69E-2</v>
      </c>
      <c r="J143">
        <v>3.9E-2</v>
      </c>
      <c r="K143">
        <v>2.7351962679644046E-2</v>
      </c>
      <c r="L143">
        <v>4.1776362920549114E-2</v>
      </c>
      <c r="M143">
        <v>4.2000000000000003E-2</v>
      </c>
      <c r="N143" s="13">
        <f t="shared" si="47"/>
        <v>3.7400000000000003E-2</v>
      </c>
    </row>
    <row r="144" spans="1:14" x14ac:dyDescent="0.25">
      <c r="A144" s="1365">
        <v>0.36</v>
      </c>
      <c r="B144">
        <v>5.3948847227570276E-2</v>
      </c>
      <c r="C144" s="13">
        <v>3.6237242218519691E-2</v>
      </c>
      <c r="D144">
        <v>3.9E-2</v>
      </c>
      <c r="E144">
        <v>2.8000000000000001E-2</v>
      </c>
      <c r="F144">
        <v>3.7600000000000001E-2</v>
      </c>
      <c r="G144">
        <v>2.7E-2</v>
      </c>
      <c r="H144">
        <v>3.4599999999999999E-2</v>
      </c>
      <c r="I144" s="1366">
        <v>2.7E-2</v>
      </c>
      <c r="J144">
        <v>3.9E-2</v>
      </c>
      <c r="K144">
        <v>2.7675662658581401E-2</v>
      </c>
      <c r="L144">
        <v>4.1986464701455929E-2</v>
      </c>
      <c r="M144">
        <v>4.2000000000000003E-2</v>
      </c>
      <c r="N144" s="13">
        <f t="shared" si="47"/>
        <v>3.7600000000000001E-2</v>
      </c>
    </row>
    <row r="145" spans="1:14" x14ac:dyDescent="0.25">
      <c r="A145" s="1365">
        <v>0.37</v>
      </c>
      <c r="B145">
        <v>5.4092444445379986E-2</v>
      </c>
      <c r="C145" s="13">
        <v>3.6814894764674887E-2</v>
      </c>
      <c r="D145">
        <v>0.04</v>
      </c>
      <c r="E145">
        <v>2.8000000000000001E-2</v>
      </c>
      <c r="F145">
        <v>3.78E-2</v>
      </c>
      <c r="G145">
        <v>2.7E-2</v>
      </c>
      <c r="H145">
        <v>3.4799999999999998E-2</v>
      </c>
      <c r="I145" s="1366">
        <v>2.7300000000000001E-2</v>
      </c>
      <c r="J145">
        <v>3.9E-2</v>
      </c>
      <c r="K145">
        <v>2.8037214169787113E-2</v>
      </c>
      <c r="L145">
        <v>4.2339138590193635E-2</v>
      </c>
      <c r="M145">
        <v>4.2999999999999997E-2</v>
      </c>
      <c r="N145" s="13">
        <f t="shared" si="47"/>
        <v>3.78E-2</v>
      </c>
    </row>
    <row r="146" spans="1:14" x14ac:dyDescent="0.25">
      <c r="A146" s="1365">
        <v>0.38</v>
      </c>
      <c r="B146">
        <v>5.4289499018747973E-2</v>
      </c>
      <c r="C146" s="13">
        <v>3.7435537836574197E-2</v>
      </c>
      <c r="D146">
        <v>0.04</v>
      </c>
      <c r="E146">
        <v>2.9000000000000001E-2</v>
      </c>
      <c r="F146">
        <v>3.7999999999999999E-2</v>
      </c>
      <c r="G146">
        <v>2.8000000000000001E-2</v>
      </c>
      <c r="H146">
        <v>3.5099999999999999E-2</v>
      </c>
      <c r="I146" s="1366">
        <v>2.7799999999999998E-2</v>
      </c>
      <c r="J146">
        <v>0.04</v>
      </c>
      <c r="K146">
        <v>2.8320792779633123E-2</v>
      </c>
      <c r="L146">
        <v>4.2460675478967258E-2</v>
      </c>
      <c r="M146">
        <v>4.2999999999999997E-2</v>
      </c>
      <c r="N146" s="13">
        <f t="shared" si="47"/>
        <v>3.7999999999999999E-2</v>
      </c>
    </row>
    <row r="147" spans="1:14" x14ac:dyDescent="0.25">
      <c r="A147" s="1365">
        <v>0.39</v>
      </c>
      <c r="B147">
        <v>5.4452898453940239E-2</v>
      </c>
      <c r="C147" s="13">
        <v>3.8117556312100342E-2</v>
      </c>
      <c r="D147">
        <v>0.04</v>
      </c>
      <c r="E147">
        <v>2.9000000000000001E-2</v>
      </c>
      <c r="F147">
        <v>3.8399999999999997E-2</v>
      </c>
      <c r="G147">
        <v>2.8000000000000001E-2</v>
      </c>
      <c r="H147">
        <v>3.5400000000000001E-2</v>
      </c>
      <c r="I147" s="1366">
        <v>2.8199999999999999E-2</v>
      </c>
      <c r="J147">
        <v>0.04</v>
      </c>
      <c r="K147">
        <v>2.87051452439719E-2</v>
      </c>
      <c r="L147">
        <v>4.3047880591495141E-2</v>
      </c>
      <c r="M147">
        <v>4.2999999999999997E-2</v>
      </c>
      <c r="N147" s="13">
        <f t="shared" si="47"/>
        <v>3.8399999999999997E-2</v>
      </c>
    </row>
    <row r="148" spans="1:14" x14ac:dyDescent="0.25">
      <c r="A148" s="1365">
        <v>0.4</v>
      </c>
      <c r="B148">
        <v>5.4506833575229799E-2</v>
      </c>
      <c r="C148" s="13">
        <v>3.8382607137626049E-2</v>
      </c>
      <c r="D148">
        <v>4.1000000000000002E-2</v>
      </c>
      <c r="E148">
        <v>2.9000000000000001E-2</v>
      </c>
      <c r="F148">
        <v>3.8699999999999998E-2</v>
      </c>
      <c r="G148">
        <v>2.8000000000000001E-2</v>
      </c>
      <c r="H148">
        <v>3.5799999999999998E-2</v>
      </c>
      <c r="I148" s="1366">
        <v>2.8400000000000002E-2</v>
      </c>
      <c r="J148">
        <v>4.1000000000000002E-2</v>
      </c>
      <c r="K148">
        <v>2.8917834768769492E-2</v>
      </c>
      <c r="L148">
        <v>4.3125977317664065E-2</v>
      </c>
      <c r="M148">
        <v>4.2999999999999997E-2</v>
      </c>
      <c r="N148" s="13">
        <f t="shared" si="47"/>
        <v>3.8699999999999998E-2</v>
      </c>
    </row>
    <row r="149" spans="1:14" x14ac:dyDescent="0.25">
      <c r="A149" s="1365">
        <v>0.41</v>
      </c>
      <c r="B149">
        <v>5.4744668888057589E-2</v>
      </c>
      <c r="C149" s="13">
        <v>3.8397800759593446E-2</v>
      </c>
      <c r="D149">
        <v>4.1000000000000002E-2</v>
      </c>
      <c r="E149">
        <v>0.03</v>
      </c>
      <c r="F149">
        <v>3.9E-2</v>
      </c>
      <c r="G149">
        <v>2.8000000000000001E-2</v>
      </c>
      <c r="H149">
        <v>3.61E-2</v>
      </c>
      <c r="I149" s="1366">
        <v>2.86E-2</v>
      </c>
      <c r="J149">
        <v>4.1000000000000002E-2</v>
      </c>
      <c r="K149">
        <v>2.9398956776057954E-2</v>
      </c>
      <c r="L149">
        <v>4.3727730241633997E-2</v>
      </c>
      <c r="M149">
        <v>4.3999999999999997E-2</v>
      </c>
      <c r="N149" s="13">
        <f t="shared" si="47"/>
        <v>3.9E-2</v>
      </c>
    </row>
    <row r="150" spans="1:14" x14ac:dyDescent="0.25">
      <c r="A150" s="1365">
        <v>0.42</v>
      </c>
      <c r="B150">
        <v>5.5164398198701448E-2</v>
      </c>
      <c r="C150" s="13">
        <v>3.8612295465153657E-2</v>
      </c>
      <c r="D150">
        <v>4.1000000000000002E-2</v>
      </c>
      <c r="E150">
        <v>0.03</v>
      </c>
      <c r="F150">
        <v>3.9199999999999999E-2</v>
      </c>
      <c r="G150">
        <v>2.9000000000000001E-2</v>
      </c>
      <c r="H150">
        <v>3.6400000000000002E-2</v>
      </c>
      <c r="I150" s="1366">
        <v>2.8899999999999999E-2</v>
      </c>
      <c r="J150">
        <v>4.1000000000000002E-2</v>
      </c>
      <c r="K150">
        <v>2.984959335676254E-2</v>
      </c>
      <c r="L150">
        <v>4.3933457393797434E-2</v>
      </c>
      <c r="M150">
        <v>4.3999999999999997E-2</v>
      </c>
      <c r="N150" s="13">
        <f t="shared" si="47"/>
        <v>3.9199999999999999E-2</v>
      </c>
    </row>
    <row r="151" spans="1:14" x14ac:dyDescent="0.25">
      <c r="A151" s="1365">
        <v>0.43</v>
      </c>
      <c r="B151">
        <v>5.5241782097762621E-2</v>
      </c>
      <c r="C151" s="13">
        <v>3.8694897814089378E-2</v>
      </c>
      <c r="D151">
        <v>4.2000000000000003E-2</v>
      </c>
      <c r="E151">
        <v>0.03</v>
      </c>
      <c r="F151">
        <v>3.95E-2</v>
      </c>
      <c r="G151">
        <v>2.9000000000000001E-2</v>
      </c>
      <c r="H151">
        <v>3.6600000000000001E-2</v>
      </c>
      <c r="I151" s="1366">
        <v>2.93E-2</v>
      </c>
      <c r="J151">
        <v>4.1000000000000002E-2</v>
      </c>
      <c r="K151">
        <v>3.0420541896604848E-2</v>
      </c>
      <c r="L151">
        <v>4.4075969608607296E-2</v>
      </c>
      <c r="M151">
        <v>4.3999999999999997E-2</v>
      </c>
      <c r="N151" s="13">
        <f t="shared" si="47"/>
        <v>3.95E-2</v>
      </c>
    </row>
    <row r="152" spans="1:14" x14ac:dyDescent="0.25">
      <c r="A152" s="1365">
        <v>0.44</v>
      </c>
      <c r="B152">
        <v>5.5244940328453986E-2</v>
      </c>
      <c r="C152" s="13">
        <v>3.9247680216587588E-2</v>
      </c>
      <c r="D152">
        <v>4.2000000000000003E-2</v>
      </c>
      <c r="E152">
        <v>3.1E-2</v>
      </c>
      <c r="F152">
        <v>3.9800000000000002E-2</v>
      </c>
      <c r="G152">
        <v>2.9000000000000001E-2</v>
      </c>
      <c r="H152">
        <v>3.6900000000000002E-2</v>
      </c>
      <c r="I152" s="1366">
        <v>2.9600000000000001E-2</v>
      </c>
      <c r="J152">
        <v>4.2000000000000003E-2</v>
      </c>
      <c r="K152">
        <v>3.0705056930463701E-2</v>
      </c>
      <c r="L152">
        <v>4.4249322191753683E-2</v>
      </c>
      <c r="M152">
        <v>4.3999999999999997E-2</v>
      </c>
      <c r="N152" s="13">
        <f t="shared" si="47"/>
        <v>3.9800000000000002E-2</v>
      </c>
    </row>
    <row r="153" spans="1:14" x14ac:dyDescent="0.25">
      <c r="A153" s="1365">
        <v>0.45</v>
      </c>
      <c r="B153">
        <v>5.540878218248986E-2</v>
      </c>
      <c r="C153" s="13">
        <v>3.9253585188469373E-2</v>
      </c>
      <c r="D153">
        <v>4.2000000000000003E-2</v>
      </c>
      <c r="E153">
        <v>3.1E-2</v>
      </c>
      <c r="F153">
        <v>0.04</v>
      </c>
      <c r="G153">
        <v>2.9000000000000001E-2</v>
      </c>
      <c r="H153">
        <v>3.7199999999999997E-2</v>
      </c>
      <c r="I153" s="1366">
        <v>3.0200000000000001E-2</v>
      </c>
      <c r="J153">
        <v>4.2000000000000003E-2</v>
      </c>
      <c r="K153">
        <v>3.096117712720909E-2</v>
      </c>
      <c r="L153">
        <v>4.4408664553057871E-2</v>
      </c>
      <c r="M153">
        <v>4.4999999999999998E-2</v>
      </c>
      <c r="N153" s="13">
        <f t="shared" si="47"/>
        <v>0.04</v>
      </c>
    </row>
    <row r="154" spans="1:14" x14ac:dyDescent="0.25">
      <c r="A154" s="1365">
        <v>0.46</v>
      </c>
      <c r="B154">
        <v>5.5568196099962636E-2</v>
      </c>
      <c r="C154" s="13">
        <v>3.9384022136596884E-2</v>
      </c>
      <c r="D154">
        <v>4.2999999999999997E-2</v>
      </c>
      <c r="E154">
        <v>3.2000000000000001E-2</v>
      </c>
      <c r="F154">
        <v>4.02E-2</v>
      </c>
      <c r="G154">
        <v>0.03</v>
      </c>
      <c r="H154">
        <v>3.7499999999999999E-2</v>
      </c>
      <c r="I154" s="1366">
        <v>3.0800000000000001E-2</v>
      </c>
      <c r="J154">
        <v>4.2999999999999997E-2</v>
      </c>
      <c r="K154">
        <v>3.1367679398762241E-2</v>
      </c>
      <c r="L154">
        <v>4.4922689854593037E-2</v>
      </c>
      <c r="M154">
        <v>4.4999999999999998E-2</v>
      </c>
      <c r="N154" s="13">
        <f t="shared" si="47"/>
        <v>4.02E-2</v>
      </c>
    </row>
    <row r="155" spans="1:14" x14ac:dyDescent="0.25">
      <c r="A155" s="1365">
        <v>0.47</v>
      </c>
      <c r="B155">
        <v>5.5661717680561995E-2</v>
      </c>
      <c r="C155" s="13">
        <v>3.9390932108340798E-2</v>
      </c>
      <c r="D155">
        <v>4.2999999999999997E-2</v>
      </c>
      <c r="E155">
        <v>3.2000000000000001E-2</v>
      </c>
      <c r="F155">
        <v>4.0500000000000001E-2</v>
      </c>
      <c r="G155">
        <v>0.03</v>
      </c>
      <c r="H155">
        <v>3.78E-2</v>
      </c>
      <c r="I155" s="1366">
        <v>3.1099999999999999E-2</v>
      </c>
      <c r="J155">
        <v>4.2999999999999997E-2</v>
      </c>
      <c r="K155">
        <v>3.1669511405534902E-2</v>
      </c>
      <c r="L155">
        <v>4.5055243260778269E-2</v>
      </c>
      <c r="M155">
        <v>4.4999999999999998E-2</v>
      </c>
      <c r="N155" s="13">
        <f t="shared" si="47"/>
        <v>4.0500000000000001E-2</v>
      </c>
    </row>
    <row r="156" spans="1:14" x14ac:dyDescent="0.25">
      <c r="A156" s="1365">
        <v>0.48</v>
      </c>
      <c r="B156">
        <v>5.6009613309651041E-2</v>
      </c>
      <c r="C156" s="13">
        <v>4.0047276841607353E-2</v>
      </c>
      <c r="D156">
        <v>4.2999999999999997E-2</v>
      </c>
      <c r="E156">
        <v>3.3000000000000002E-2</v>
      </c>
      <c r="F156">
        <v>4.0800000000000003E-2</v>
      </c>
      <c r="G156">
        <v>3.1E-2</v>
      </c>
      <c r="H156">
        <v>3.7999999999999999E-2</v>
      </c>
      <c r="I156" s="1366">
        <v>3.1300000000000001E-2</v>
      </c>
      <c r="J156">
        <v>4.2999999999999997E-2</v>
      </c>
      <c r="K156">
        <v>3.2154930163845005E-2</v>
      </c>
      <c r="L156">
        <v>4.5290820077962347E-2</v>
      </c>
      <c r="M156">
        <v>4.4999999999999998E-2</v>
      </c>
      <c r="N156" s="13">
        <f t="shared" si="47"/>
        <v>4.0800000000000003E-2</v>
      </c>
    </row>
    <row r="157" spans="1:14" x14ac:dyDescent="0.25">
      <c r="A157" s="1365">
        <v>0.49</v>
      </c>
      <c r="B157">
        <v>5.618933659796331E-2</v>
      </c>
      <c r="C157" s="13">
        <v>4.0873862203469322E-2</v>
      </c>
      <c r="D157">
        <v>4.3999999999999997E-2</v>
      </c>
      <c r="E157">
        <v>3.3000000000000002E-2</v>
      </c>
      <c r="F157">
        <v>4.1000000000000002E-2</v>
      </c>
      <c r="G157">
        <v>3.1E-2</v>
      </c>
      <c r="H157">
        <v>3.8100000000000002E-2</v>
      </c>
      <c r="I157" s="1366">
        <v>3.15E-2</v>
      </c>
      <c r="J157">
        <v>4.2999999999999997E-2</v>
      </c>
      <c r="K157">
        <v>3.2452671302605485E-2</v>
      </c>
      <c r="L157">
        <v>4.5395535093422541E-2</v>
      </c>
      <c r="M157">
        <v>4.5999999999999999E-2</v>
      </c>
      <c r="N157" s="13">
        <f t="shared" si="47"/>
        <v>4.1000000000000002E-2</v>
      </c>
    </row>
    <row r="158" spans="1:14" x14ac:dyDescent="0.25">
      <c r="A158" s="1365">
        <v>0.5</v>
      </c>
      <c r="B158">
        <v>5.641300874051005E-2</v>
      </c>
      <c r="C158" s="13">
        <v>4.1126294139575123E-2</v>
      </c>
      <c r="D158">
        <v>4.3999999999999997E-2</v>
      </c>
      <c r="E158">
        <v>3.4000000000000002E-2</v>
      </c>
      <c r="F158">
        <v>4.1300000000000003E-2</v>
      </c>
      <c r="G158">
        <v>3.1E-2</v>
      </c>
      <c r="H158">
        <v>3.8300000000000001E-2</v>
      </c>
      <c r="I158" s="1366">
        <v>3.1600000000000003E-2</v>
      </c>
      <c r="J158">
        <v>4.3999999999999997E-2</v>
      </c>
      <c r="K158">
        <v>3.2705526341410648E-2</v>
      </c>
      <c r="L158">
        <v>4.5558037309514535E-2</v>
      </c>
      <c r="M158">
        <v>4.5999999999999999E-2</v>
      </c>
      <c r="N158" s="13">
        <f t="shared" si="47"/>
        <v>4.1300000000000003E-2</v>
      </c>
    </row>
    <row r="159" spans="1:14" x14ac:dyDescent="0.25">
      <c r="A159" s="1365">
        <v>0.51</v>
      </c>
      <c r="B159">
        <v>5.6507349733221149E-2</v>
      </c>
      <c r="C159" s="13">
        <v>4.1621987829197141E-2</v>
      </c>
      <c r="D159">
        <v>4.3999999999999997E-2</v>
      </c>
      <c r="E159">
        <v>3.4000000000000002E-2</v>
      </c>
      <c r="F159">
        <v>4.1599999999999998E-2</v>
      </c>
      <c r="G159">
        <v>3.1E-2</v>
      </c>
      <c r="H159">
        <v>3.8399999999999997E-2</v>
      </c>
      <c r="I159" s="1366">
        <v>3.1800000000000002E-2</v>
      </c>
      <c r="J159">
        <v>4.3999999999999997E-2</v>
      </c>
      <c r="K159">
        <v>3.2978399725053446E-2</v>
      </c>
      <c r="L159">
        <v>4.5661520863357716E-2</v>
      </c>
      <c r="M159">
        <v>4.5999999999999999E-2</v>
      </c>
      <c r="N159" s="13">
        <f t="shared" si="47"/>
        <v>4.1599999999999998E-2</v>
      </c>
    </row>
    <row r="160" spans="1:14" x14ac:dyDescent="0.25">
      <c r="A160" s="1365">
        <v>0.52</v>
      </c>
      <c r="B160">
        <v>5.6865743090744339E-2</v>
      </c>
      <c r="C160" s="13">
        <v>4.2066556817304875E-2</v>
      </c>
      <c r="D160">
        <v>4.3999999999999997E-2</v>
      </c>
      <c r="E160">
        <v>3.4000000000000002E-2</v>
      </c>
      <c r="F160">
        <v>4.1799999999999997E-2</v>
      </c>
      <c r="G160">
        <v>3.2000000000000001E-2</v>
      </c>
      <c r="H160">
        <v>3.8699999999999998E-2</v>
      </c>
      <c r="I160" s="1366">
        <v>3.2000000000000001E-2</v>
      </c>
      <c r="J160">
        <v>4.4999999999999998E-2</v>
      </c>
      <c r="K160">
        <v>3.3421016918594899E-2</v>
      </c>
      <c r="L160">
        <v>4.576316852144259E-2</v>
      </c>
      <c r="M160">
        <v>4.5999999999999999E-2</v>
      </c>
      <c r="N160" s="13">
        <f t="shared" si="47"/>
        <v>4.1799999999999997E-2</v>
      </c>
    </row>
    <row r="161" spans="1:14" x14ac:dyDescent="0.25">
      <c r="A161" s="1365">
        <v>0.53</v>
      </c>
      <c r="B161">
        <v>5.7250305423915231E-2</v>
      </c>
      <c r="C161" s="13">
        <v>4.2363311590304105E-2</v>
      </c>
      <c r="D161">
        <v>4.4999999999999998E-2</v>
      </c>
      <c r="E161">
        <v>3.5000000000000003E-2</v>
      </c>
      <c r="F161">
        <v>4.2099999999999999E-2</v>
      </c>
      <c r="G161">
        <v>3.2000000000000001E-2</v>
      </c>
      <c r="H161">
        <v>3.8800000000000001E-2</v>
      </c>
      <c r="I161" s="1366">
        <v>3.2500000000000001E-2</v>
      </c>
      <c r="J161">
        <v>4.4999999999999998E-2</v>
      </c>
      <c r="K161">
        <v>3.3711493482834406E-2</v>
      </c>
      <c r="L161">
        <v>4.6130075846659749E-2</v>
      </c>
      <c r="M161">
        <v>4.5999999999999999E-2</v>
      </c>
      <c r="N161" s="13">
        <f t="shared" si="47"/>
        <v>4.2099999999999999E-2</v>
      </c>
    </row>
    <row r="162" spans="1:14" x14ac:dyDescent="0.25">
      <c r="A162" s="1365">
        <v>0.54</v>
      </c>
      <c r="B162">
        <v>5.77555110714447E-2</v>
      </c>
      <c r="C162" s="13">
        <v>4.2617424250240135E-2</v>
      </c>
      <c r="D162">
        <v>4.4999999999999998E-2</v>
      </c>
      <c r="E162">
        <v>3.5000000000000003E-2</v>
      </c>
      <c r="F162">
        <v>4.24E-2</v>
      </c>
      <c r="G162">
        <v>3.3000000000000002E-2</v>
      </c>
      <c r="H162">
        <v>3.9100000000000003E-2</v>
      </c>
      <c r="I162" s="1366">
        <v>3.2800000000000003E-2</v>
      </c>
      <c r="J162">
        <v>4.4999999999999998E-2</v>
      </c>
      <c r="K162">
        <v>3.3991835695975546E-2</v>
      </c>
      <c r="L162">
        <v>4.6234510174179476E-2</v>
      </c>
      <c r="M162">
        <v>4.5999999999999999E-2</v>
      </c>
      <c r="N162" s="13">
        <f t="shared" si="47"/>
        <v>4.24E-2</v>
      </c>
    </row>
    <row r="163" spans="1:14" x14ac:dyDescent="0.25">
      <c r="A163" s="1365">
        <v>0.55000000000000004</v>
      </c>
      <c r="B163">
        <v>5.8232697138469618E-2</v>
      </c>
      <c r="C163" s="13">
        <v>4.2837337671028722E-2</v>
      </c>
      <c r="D163">
        <v>4.4999999999999998E-2</v>
      </c>
      <c r="E163">
        <v>3.5000000000000003E-2</v>
      </c>
      <c r="F163">
        <v>4.2599999999999999E-2</v>
      </c>
      <c r="G163">
        <v>3.3000000000000002E-2</v>
      </c>
      <c r="H163">
        <v>3.9399999999999998E-2</v>
      </c>
      <c r="I163" s="1366">
        <v>3.3000000000000002E-2</v>
      </c>
      <c r="J163">
        <v>4.4999999999999998E-2</v>
      </c>
      <c r="K163">
        <v>3.4558157605951809E-2</v>
      </c>
      <c r="L163">
        <v>4.6377488486796986E-2</v>
      </c>
      <c r="M163">
        <v>4.5999999999999999E-2</v>
      </c>
      <c r="N163" s="13">
        <f t="shared" si="47"/>
        <v>4.2599999999999999E-2</v>
      </c>
    </row>
    <row r="164" spans="1:14" x14ac:dyDescent="0.25">
      <c r="A164" s="1365">
        <v>0.56000000000000005</v>
      </c>
      <c r="B164">
        <v>5.8495261356277764E-2</v>
      </c>
      <c r="C164" s="13">
        <v>4.2934685653304695E-2</v>
      </c>
      <c r="D164">
        <v>4.4999999999999998E-2</v>
      </c>
      <c r="E164">
        <v>3.5999999999999997E-2</v>
      </c>
      <c r="F164">
        <v>4.2799999999999998E-2</v>
      </c>
      <c r="G164">
        <v>3.4000000000000002E-2</v>
      </c>
      <c r="H164">
        <v>3.9600000000000003E-2</v>
      </c>
      <c r="I164" s="1366">
        <v>3.32E-2</v>
      </c>
      <c r="J164">
        <v>4.5999999999999999E-2</v>
      </c>
      <c r="K164">
        <v>3.4844086396925739E-2</v>
      </c>
      <c r="L164">
        <v>4.6720740013203019E-2</v>
      </c>
      <c r="M164">
        <v>4.7E-2</v>
      </c>
      <c r="N164" s="13">
        <f t="shared" si="47"/>
        <v>4.2799999999999998E-2</v>
      </c>
    </row>
    <row r="165" spans="1:14" x14ac:dyDescent="0.25">
      <c r="A165" s="1365">
        <v>0.56999999999999995</v>
      </c>
      <c r="B165">
        <v>5.8808085128157855E-2</v>
      </c>
      <c r="C165" s="13">
        <v>4.2973752398593988E-2</v>
      </c>
      <c r="D165">
        <v>4.5999999999999999E-2</v>
      </c>
      <c r="E165">
        <v>3.5999999999999997E-2</v>
      </c>
      <c r="F165">
        <v>4.2999999999999997E-2</v>
      </c>
      <c r="G165">
        <v>3.4000000000000002E-2</v>
      </c>
      <c r="H165">
        <v>3.9800000000000002E-2</v>
      </c>
      <c r="I165" s="1366">
        <v>3.3500000000000002E-2</v>
      </c>
      <c r="J165">
        <v>4.5999999999999999E-2</v>
      </c>
      <c r="K165">
        <v>3.5175788727915533E-2</v>
      </c>
      <c r="L165">
        <v>4.6971866876044897E-2</v>
      </c>
      <c r="M165">
        <v>4.7E-2</v>
      </c>
      <c r="N165" s="13">
        <f t="shared" si="47"/>
        <v>4.2999999999999997E-2</v>
      </c>
    </row>
    <row r="166" spans="1:14" x14ac:dyDescent="0.25">
      <c r="A166" s="1365">
        <v>0.57999999999999996</v>
      </c>
      <c r="B166">
        <v>5.9401806673005708E-2</v>
      </c>
      <c r="C166" s="13">
        <v>4.3003407840047005E-2</v>
      </c>
      <c r="D166">
        <v>4.5999999999999999E-2</v>
      </c>
      <c r="E166">
        <v>3.5999999999999997E-2</v>
      </c>
      <c r="F166">
        <v>4.3200000000000002E-2</v>
      </c>
      <c r="G166">
        <v>3.4000000000000002E-2</v>
      </c>
      <c r="H166">
        <v>0.04</v>
      </c>
      <c r="I166" s="1366">
        <v>3.3799999999999997E-2</v>
      </c>
      <c r="J166">
        <v>4.7E-2</v>
      </c>
      <c r="K166">
        <v>3.5413354397402071E-2</v>
      </c>
      <c r="L166">
        <v>4.7153428355569876E-2</v>
      </c>
      <c r="M166">
        <v>4.7E-2</v>
      </c>
      <c r="N166" s="13">
        <f t="shared" si="47"/>
        <v>4.3200000000000002E-2</v>
      </c>
    </row>
    <row r="167" spans="1:14" x14ac:dyDescent="0.25">
      <c r="A167" s="1365">
        <v>0.59</v>
      </c>
      <c r="B167">
        <v>5.9673758045255487E-2</v>
      </c>
      <c r="C167" s="13">
        <v>4.3143449126851335E-2</v>
      </c>
      <c r="D167">
        <v>4.5999999999999999E-2</v>
      </c>
      <c r="E167">
        <v>3.5999999999999997E-2</v>
      </c>
      <c r="F167">
        <v>4.3299999999999998E-2</v>
      </c>
      <c r="G167">
        <v>3.4000000000000002E-2</v>
      </c>
      <c r="H167">
        <v>4.02E-2</v>
      </c>
      <c r="I167" s="1366">
        <v>3.4099999999999998E-2</v>
      </c>
      <c r="J167">
        <v>4.7E-2</v>
      </c>
      <c r="K167">
        <v>3.5641548407323115E-2</v>
      </c>
      <c r="L167">
        <v>4.7282686568670906E-2</v>
      </c>
      <c r="M167">
        <v>4.7E-2</v>
      </c>
      <c r="N167" s="13">
        <f t="shared" si="47"/>
        <v>4.3299999999999998E-2</v>
      </c>
    </row>
    <row r="168" spans="1:14" x14ac:dyDescent="0.25">
      <c r="A168" s="1365">
        <v>0.6</v>
      </c>
      <c r="B168">
        <v>5.9694839481855715E-2</v>
      </c>
      <c r="C168" s="13">
        <v>4.351874790608886E-2</v>
      </c>
      <c r="D168">
        <v>4.7E-2</v>
      </c>
      <c r="E168">
        <v>3.6999999999999998E-2</v>
      </c>
      <c r="F168">
        <v>4.36E-2</v>
      </c>
      <c r="G168">
        <v>3.5000000000000003E-2</v>
      </c>
      <c r="H168">
        <v>4.0399999999999998E-2</v>
      </c>
      <c r="I168" s="1366">
        <v>3.44E-2</v>
      </c>
      <c r="J168">
        <v>4.7E-2</v>
      </c>
      <c r="K168">
        <v>3.5917884231703417E-2</v>
      </c>
      <c r="L168">
        <v>4.7598998859950205E-2</v>
      </c>
      <c r="M168">
        <v>4.7E-2</v>
      </c>
      <c r="N168" s="13">
        <f t="shared" si="47"/>
        <v>4.36E-2</v>
      </c>
    </row>
    <row r="169" spans="1:14" x14ac:dyDescent="0.25">
      <c r="A169" s="1365">
        <v>0.61</v>
      </c>
      <c r="B169">
        <v>5.9765808480453972E-2</v>
      </c>
      <c r="C169" s="13">
        <v>4.3624480357623376E-2</v>
      </c>
      <c r="D169">
        <v>4.7E-2</v>
      </c>
      <c r="E169">
        <v>3.6999999999999998E-2</v>
      </c>
      <c r="F169">
        <v>4.3799999999999999E-2</v>
      </c>
      <c r="G169">
        <v>3.5000000000000003E-2</v>
      </c>
      <c r="H169">
        <v>4.0599999999999997E-2</v>
      </c>
      <c r="I169" s="1366">
        <v>3.4700000000000002E-2</v>
      </c>
      <c r="J169">
        <v>4.7E-2</v>
      </c>
      <c r="K169">
        <v>3.633676371355847E-2</v>
      </c>
      <c r="L169">
        <v>4.8001328966228954E-2</v>
      </c>
      <c r="M169">
        <v>4.8000000000000001E-2</v>
      </c>
      <c r="N169" s="13">
        <f t="shared" si="47"/>
        <v>4.3799999999999999E-2</v>
      </c>
    </row>
    <row r="170" spans="1:14" x14ac:dyDescent="0.25">
      <c r="A170" s="1365">
        <v>0.62</v>
      </c>
      <c r="B170">
        <v>6.0036043907060667E-2</v>
      </c>
      <c r="C170" s="13">
        <v>4.391138395125533E-2</v>
      </c>
      <c r="D170">
        <v>4.7E-2</v>
      </c>
      <c r="E170">
        <v>3.6999999999999998E-2</v>
      </c>
      <c r="F170">
        <v>4.3999999999999997E-2</v>
      </c>
      <c r="G170">
        <v>3.5999999999999997E-2</v>
      </c>
      <c r="H170">
        <v>4.0800000000000003E-2</v>
      </c>
      <c r="I170" s="1366">
        <v>3.5099999999999999E-2</v>
      </c>
      <c r="J170">
        <v>4.8000000000000001E-2</v>
      </c>
      <c r="K170">
        <v>3.6589695320860281E-2</v>
      </c>
      <c r="L170">
        <v>4.8054745418665744E-2</v>
      </c>
      <c r="M170">
        <v>4.8000000000000001E-2</v>
      </c>
      <c r="N170" s="13">
        <f t="shared" si="47"/>
        <v>4.3999999999999997E-2</v>
      </c>
    </row>
    <row r="171" spans="1:14" x14ac:dyDescent="0.25">
      <c r="A171" s="1365">
        <v>0.63</v>
      </c>
      <c r="B171">
        <v>6.0142210730446025E-2</v>
      </c>
      <c r="C171" s="13">
        <v>4.4221953916955027E-2</v>
      </c>
      <c r="D171">
        <v>4.8000000000000001E-2</v>
      </c>
      <c r="E171">
        <v>3.7999999999999999E-2</v>
      </c>
      <c r="F171">
        <v>4.4299999999999999E-2</v>
      </c>
      <c r="G171">
        <v>3.5999999999999997E-2</v>
      </c>
      <c r="H171">
        <v>4.1000000000000002E-2</v>
      </c>
      <c r="I171" s="1366">
        <v>3.56E-2</v>
      </c>
      <c r="J171">
        <v>4.8000000000000001E-2</v>
      </c>
      <c r="K171">
        <v>3.7108125355449495E-2</v>
      </c>
      <c r="L171">
        <v>4.8444437606418235E-2</v>
      </c>
      <c r="M171">
        <v>4.9000000000000002E-2</v>
      </c>
      <c r="N171" s="13">
        <f t="shared" si="47"/>
        <v>4.4299999999999999E-2</v>
      </c>
    </row>
    <row r="172" spans="1:14" x14ac:dyDescent="0.25">
      <c r="A172" s="1365">
        <v>0.64</v>
      </c>
      <c r="B172">
        <v>6.0364056525526739E-2</v>
      </c>
      <c r="C172" s="13">
        <v>4.4628627129574432E-2</v>
      </c>
      <c r="D172">
        <v>4.8000000000000001E-2</v>
      </c>
      <c r="E172">
        <v>3.7999999999999999E-2</v>
      </c>
      <c r="F172">
        <v>4.4499999999999998E-2</v>
      </c>
      <c r="G172">
        <v>3.6999999999999998E-2</v>
      </c>
      <c r="H172">
        <v>4.1200000000000001E-2</v>
      </c>
      <c r="I172" s="1366">
        <v>3.5900000000000001E-2</v>
      </c>
      <c r="J172">
        <v>4.9000000000000002E-2</v>
      </c>
      <c r="K172">
        <v>3.7524226971752242E-2</v>
      </c>
      <c r="L172">
        <v>4.8955642758507653E-2</v>
      </c>
      <c r="M172">
        <v>4.9000000000000002E-2</v>
      </c>
      <c r="N172" s="13">
        <f t="shared" si="47"/>
        <v>4.4499999999999998E-2</v>
      </c>
    </row>
    <row r="173" spans="1:14" x14ac:dyDescent="0.25">
      <c r="A173" s="1365">
        <v>0.65</v>
      </c>
      <c r="B173">
        <v>6.0477010106429141E-2</v>
      </c>
      <c r="C173" s="13">
        <v>4.5500690929498711E-2</v>
      </c>
      <c r="D173">
        <v>4.8000000000000001E-2</v>
      </c>
      <c r="E173">
        <v>3.9E-2</v>
      </c>
      <c r="F173">
        <v>4.4699999999999997E-2</v>
      </c>
      <c r="G173">
        <v>3.6999999999999998E-2</v>
      </c>
      <c r="H173">
        <v>4.1300000000000003E-2</v>
      </c>
      <c r="I173" s="1366">
        <v>3.6200000000000003E-2</v>
      </c>
      <c r="J173">
        <v>4.9000000000000002E-2</v>
      </c>
      <c r="K173">
        <v>3.7776577131107783E-2</v>
      </c>
      <c r="L173">
        <v>4.9372895295845674E-2</v>
      </c>
      <c r="M173">
        <v>0.05</v>
      </c>
      <c r="N173" s="13">
        <f t="shared" ref="N173:N208" si="48">$B$106*B173+$C$106*C173+$D$106*D173+$E$106*E173+$F$106*F173+$G$106*G173+$H$106*H173+$I$106*I173+$J$106*J173+$K$106*K173+$L$106*L173+$M$106*M173</f>
        <v>4.4699999999999997E-2</v>
      </c>
    </row>
    <row r="174" spans="1:14" x14ac:dyDescent="0.25">
      <c r="A174" s="1365">
        <v>0.66</v>
      </c>
      <c r="B174">
        <v>6.06386304608297E-2</v>
      </c>
      <c r="C174" s="13">
        <v>4.5724026774067637E-2</v>
      </c>
      <c r="D174">
        <v>4.8000000000000001E-2</v>
      </c>
      <c r="E174">
        <v>3.9E-2</v>
      </c>
      <c r="F174">
        <v>4.4900000000000002E-2</v>
      </c>
      <c r="G174">
        <v>3.7999999999999999E-2</v>
      </c>
      <c r="H174">
        <v>4.1599999999999998E-2</v>
      </c>
      <c r="I174" s="1366">
        <v>3.6600000000000001E-2</v>
      </c>
      <c r="J174">
        <v>4.9000000000000002E-2</v>
      </c>
      <c r="K174">
        <v>3.8264268922340257E-2</v>
      </c>
      <c r="L174">
        <v>4.9700278098286435E-2</v>
      </c>
      <c r="M174">
        <v>0.05</v>
      </c>
      <c r="N174" s="13">
        <f t="shared" si="48"/>
        <v>4.4900000000000002E-2</v>
      </c>
    </row>
    <row r="175" spans="1:14" x14ac:dyDescent="0.25">
      <c r="A175" s="1365">
        <v>0.67</v>
      </c>
      <c r="B175">
        <v>6.10329442238823E-2</v>
      </c>
      <c r="C175" s="13">
        <v>4.6935719465885144E-2</v>
      </c>
      <c r="D175">
        <v>4.9000000000000002E-2</v>
      </c>
      <c r="E175">
        <v>3.9E-2</v>
      </c>
      <c r="F175">
        <v>4.53E-2</v>
      </c>
      <c r="G175">
        <v>3.7999999999999999E-2</v>
      </c>
      <c r="H175">
        <v>4.2000000000000003E-2</v>
      </c>
      <c r="I175" s="1366">
        <v>3.6999999999999998E-2</v>
      </c>
      <c r="J175">
        <v>4.9000000000000002E-2</v>
      </c>
      <c r="K175">
        <v>3.8485211337677544E-2</v>
      </c>
      <c r="L175">
        <v>5.0424696175639841E-2</v>
      </c>
      <c r="M175">
        <v>0.05</v>
      </c>
      <c r="N175" s="13">
        <f t="shared" si="48"/>
        <v>4.53E-2</v>
      </c>
    </row>
    <row r="176" spans="1:14" x14ac:dyDescent="0.25">
      <c r="A176" s="1365">
        <v>0.68</v>
      </c>
      <c r="B176">
        <v>6.1425523027486731E-2</v>
      </c>
      <c r="C176" s="13">
        <v>4.8745105755270877E-2</v>
      </c>
      <c r="D176">
        <v>4.9000000000000002E-2</v>
      </c>
      <c r="E176">
        <v>3.9E-2</v>
      </c>
      <c r="F176">
        <v>4.5499999999999999E-2</v>
      </c>
      <c r="G176">
        <v>3.9E-2</v>
      </c>
      <c r="H176">
        <v>4.24E-2</v>
      </c>
      <c r="I176" s="1366">
        <v>3.7400000000000003E-2</v>
      </c>
      <c r="J176">
        <v>0.05</v>
      </c>
      <c r="K176">
        <v>3.8813488010396038E-2</v>
      </c>
      <c r="L176">
        <v>5.0561959085433823E-2</v>
      </c>
      <c r="M176">
        <v>0.05</v>
      </c>
      <c r="N176" s="13">
        <f t="shared" si="48"/>
        <v>4.5499999999999999E-2</v>
      </c>
    </row>
    <row r="177" spans="1:14" x14ac:dyDescent="0.25">
      <c r="A177" s="1365">
        <v>0.69</v>
      </c>
      <c r="B177">
        <v>6.1764865298909712E-2</v>
      </c>
      <c r="C177" s="13">
        <v>4.9591215204466806E-2</v>
      </c>
      <c r="D177">
        <v>4.9000000000000002E-2</v>
      </c>
      <c r="E177">
        <v>0.04</v>
      </c>
      <c r="F177">
        <v>4.5699999999999998E-2</v>
      </c>
      <c r="G177">
        <v>3.9E-2</v>
      </c>
      <c r="H177">
        <v>4.2999999999999997E-2</v>
      </c>
      <c r="I177" s="1366">
        <v>3.7699999999999997E-2</v>
      </c>
      <c r="J177">
        <v>0.05</v>
      </c>
      <c r="K177">
        <v>3.9182077144234419E-2</v>
      </c>
      <c r="L177">
        <v>5.0752148473064321E-2</v>
      </c>
      <c r="M177">
        <v>5.0999999999999997E-2</v>
      </c>
      <c r="N177" s="13">
        <f t="shared" si="48"/>
        <v>4.5699999999999998E-2</v>
      </c>
    </row>
    <row r="178" spans="1:14" x14ac:dyDescent="0.25">
      <c r="A178" s="1365">
        <v>0.7</v>
      </c>
      <c r="B178">
        <v>6.2217856782215551E-2</v>
      </c>
      <c r="C178" s="13">
        <v>5.0001772587591246E-2</v>
      </c>
      <c r="D178">
        <v>0.05</v>
      </c>
      <c r="E178">
        <v>0.04</v>
      </c>
      <c r="F178">
        <v>4.5999999999999999E-2</v>
      </c>
      <c r="G178">
        <v>0.04</v>
      </c>
      <c r="H178">
        <v>4.3400000000000001E-2</v>
      </c>
      <c r="I178" s="1366">
        <v>3.8100000000000002E-2</v>
      </c>
      <c r="J178">
        <v>5.0999999999999997E-2</v>
      </c>
      <c r="K178">
        <v>3.9674465191540137E-2</v>
      </c>
      <c r="L178">
        <v>5.1512900077914724E-2</v>
      </c>
      <c r="M178">
        <v>5.0999999999999997E-2</v>
      </c>
      <c r="N178" s="13">
        <f t="shared" si="48"/>
        <v>4.5999999999999999E-2</v>
      </c>
    </row>
    <row r="179" spans="1:14" x14ac:dyDescent="0.25">
      <c r="A179" s="1365">
        <v>0.71</v>
      </c>
      <c r="B179">
        <v>6.2867453158528999E-2</v>
      </c>
      <c r="C179" s="13">
        <v>5.0441000314209027E-2</v>
      </c>
      <c r="D179">
        <v>0.05</v>
      </c>
      <c r="E179">
        <v>0.04</v>
      </c>
      <c r="F179">
        <v>4.6300000000000001E-2</v>
      </c>
      <c r="G179">
        <v>0.04</v>
      </c>
      <c r="H179">
        <v>4.3700000000000003E-2</v>
      </c>
      <c r="I179" s="1366">
        <v>3.8600000000000002E-2</v>
      </c>
      <c r="J179">
        <v>5.0999999999999997E-2</v>
      </c>
      <c r="K179">
        <v>4.0208883491339539E-2</v>
      </c>
      <c r="L179">
        <v>5.1618527676763573E-2</v>
      </c>
      <c r="M179">
        <v>5.1999999999999998E-2</v>
      </c>
      <c r="N179" s="13">
        <f t="shared" si="48"/>
        <v>4.6300000000000001E-2</v>
      </c>
    </row>
    <row r="180" spans="1:14" x14ac:dyDescent="0.25">
      <c r="A180" s="1365">
        <v>0.72</v>
      </c>
      <c r="B180">
        <v>6.3503170889803298E-2</v>
      </c>
      <c r="C180" s="13">
        <v>5.0449889059123607E-2</v>
      </c>
      <c r="D180">
        <v>5.0999999999999997E-2</v>
      </c>
      <c r="E180">
        <v>0.04</v>
      </c>
      <c r="F180">
        <v>4.6600000000000003E-2</v>
      </c>
      <c r="G180">
        <v>4.2000000000000003E-2</v>
      </c>
      <c r="H180">
        <v>4.3999999999999997E-2</v>
      </c>
      <c r="I180" s="1366">
        <v>3.9199999999999999E-2</v>
      </c>
      <c r="J180">
        <v>5.1999999999999998E-2</v>
      </c>
      <c r="K180">
        <v>4.072728663357765E-2</v>
      </c>
      <c r="L180">
        <v>5.1930651505107783E-2</v>
      </c>
      <c r="M180">
        <v>5.1999999999999998E-2</v>
      </c>
      <c r="N180" s="13">
        <f t="shared" si="48"/>
        <v>4.6600000000000003E-2</v>
      </c>
    </row>
    <row r="181" spans="1:14" x14ac:dyDescent="0.25">
      <c r="A181" s="1365">
        <v>0.73</v>
      </c>
      <c r="B181">
        <v>6.3917803193482808E-2</v>
      </c>
      <c r="C181" s="13">
        <v>5.1356818055562296E-2</v>
      </c>
      <c r="D181">
        <v>5.0999999999999997E-2</v>
      </c>
      <c r="E181">
        <v>0.04</v>
      </c>
      <c r="F181">
        <v>4.6800000000000001E-2</v>
      </c>
      <c r="G181">
        <v>4.2000000000000003E-2</v>
      </c>
      <c r="H181">
        <v>4.4400000000000002E-2</v>
      </c>
      <c r="I181" s="1366">
        <v>3.9600000000000003E-2</v>
      </c>
      <c r="J181">
        <v>5.1999999999999998E-2</v>
      </c>
      <c r="K181">
        <v>4.1214801476608921E-2</v>
      </c>
      <c r="L181">
        <v>5.198054395752752E-2</v>
      </c>
      <c r="M181">
        <v>5.1999999999999998E-2</v>
      </c>
      <c r="N181" s="13">
        <f t="shared" si="48"/>
        <v>4.6800000000000001E-2</v>
      </c>
    </row>
    <row r="182" spans="1:14" x14ac:dyDescent="0.25">
      <c r="A182" s="1365">
        <v>0.74</v>
      </c>
      <c r="B182">
        <v>6.4570030498758535E-2</v>
      </c>
      <c r="C182" s="13">
        <v>5.1787673196368851E-2</v>
      </c>
      <c r="D182">
        <v>5.0999999999999997E-2</v>
      </c>
      <c r="E182">
        <v>4.1000000000000002E-2</v>
      </c>
      <c r="F182">
        <v>4.7199999999999999E-2</v>
      </c>
      <c r="G182">
        <v>4.2999999999999997E-2</v>
      </c>
      <c r="H182">
        <v>4.4699999999999997E-2</v>
      </c>
      <c r="I182" s="1366">
        <v>0.04</v>
      </c>
      <c r="J182">
        <v>5.1999999999999998E-2</v>
      </c>
      <c r="K182">
        <v>4.1545136269954215E-2</v>
      </c>
      <c r="L182">
        <v>5.1995382203931143E-2</v>
      </c>
      <c r="M182">
        <v>5.1999999999999998E-2</v>
      </c>
      <c r="N182" s="13">
        <f t="shared" si="48"/>
        <v>4.7199999999999999E-2</v>
      </c>
    </row>
    <row r="183" spans="1:14" x14ac:dyDescent="0.25">
      <c r="A183" s="1365">
        <v>0.75</v>
      </c>
      <c r="B183">
        <v>6.4958322752453695E-2</v>
      </c>
      <c r="C183" s="13">
        <v>5.2438074151340226E-2</v>
      </c>
      <c r="D183">
        <v>5.1999999999999998E-2</v>
      </c>
      <c r="E183">
        <v>4.1000000000000002E-2</v>
      </c>
      <c r="F183">
        <v>4.7500000000000001E-2</v>
      </c>
      <c r="G183">
        <v>4.2999999999999997E-2</v>
      </c>
      <c r="H183">
        <v>4.4999999999999998E-2</v>
      </c>
      <c r="I183" s="1366">
        <v>4.0599999999999997E-2</v>
      </c>
      <c r="J183">
        <v>5.1999999999999998E-2</v>
      </c>
      <c r="K183">
        <v>4.2054286113998904E-2</v>
      </c>
      <c r="L183">
        <v>5.2030530964466228E-2</v>
      </c>
      <c r="M183">
        <v>5.1999999999999998E-2</v>
      </c>
      <c r="N183" s="13">
        <f t="shared" si="48"/>
        <v>4.7500000000000001E-2</v>
      </c>
    </row>
    <row r="184" spans="1:14" x14ac:dyDescent="0.25">
      <c r="A184" s="1365">
        <v>0.76</v>
      </c>
      <c r="B184">
        <v>6.5143073686451849E-2</v>
      </c>
      <c r="C184" s="13">
        <v>5.3150627166755511E-2</v>
      </c>
      <c r="D184">
        <v>5.1999999999999998E-2</v>
      </c>
      <c r="E184">
        <v>4.1000000000000002E-2</v>
      </c>
      <c r="F184">
        <v>4.7899999999999998E-2</v>
      </c>
      <c r="G184">
        <v>4.2999999999999997E-2</v>
      </c>
      <c r="H184">
        <v>4.53E-2</v>
      </c>
      <c r="I184" s="1366">
        <v>4.0899999999999999E-2</v>
      </c>
      <c r="J184">
        <v>5.2999999999999999E-2</v>
      </c>
      <c r="K184">
        <v>4.2335172817900862E-2</v>
      </c>
      <c r="L184">
        <v>5.2612679062316745E-2</v>
      </c>
      <c r="M184">
        <v>5.1999999999999998E-2</v>
      </c>
      <c r="N184" s="13">
        <f t="shared" si="48"/>
        <v>4.7899999999999998E-2</v>
      </c>
    </row>
    <row r="185" spans="1:14" x14ac:dyDescent="0.25">
      <c r="A185" s="1365">
        <v>0.77</v>
      </c>
      <c r="B185">
        <v>6.6317489288618206E-2</v>
      </c>
      <c r="C185" s="13">
        <v>5.4873094518331514E-2</v>
      </c>
      <c r="D185">
        <v>5.2999999999999999E-2</v>
      </c>
      <c r="E185">
        <v>4.1000000000000002E-2</v>
      </c>
      <c r="F185">
        <v>4.82E-2</v>
      </c>
      <c r="G185">
        <v>4.2999999999999997E-2</v>
      </c>
      <c r="H185">
        <v>4.5600000000000002E-2</v>
      </c>
      <c r="I185" s="1366">
        <v>4.1599999999999998E-2</v>
      </c>
      <c r="J185">
        <v>5.2999999999999999E-2</v>
      </c>
      <c r="K185">
        <v>4.2929771238112015E-2</v>
      </c>
      <c r="L185">
        <v>5.2795358600085489E-2</v>
      </c>
      <c r="M185">
        <v>5.2999999999999999E-2</v>
      </c>
      <c r="N185" s="13">
        <f t="shared" si="48"/>
        <v>4.82E-2</v>
      </c>
    </row>
    <row r="186" spans="1:14" x14ac:dyDescent="0.25">
      <c r="A186" s="1365">
        <v>0.78</v>
      </c>
      <c r="B186">
        <v>6.7341187290418617E-2</v>
      </c>
      <c r="C186" s="13">
        <v>5.5072098043491349E-2</v>
      </c>
      <c r="D186">
        <v>5.2999999999999999E-2</v>
      </c>
      <c r="E186">
        <v>4.1000000000000002E-2</v>
      </c>
      <c r="F186">
        <v>4.8599999999999997E-2</v>
      </c>
      <c r="G186">
        <v>4.4999999999999998E-2</v>
      </c>
      <c r="H186">
        <v>4.5699999999999998E-2</v>
      </c>
      <c r="I186" s="1366">
        <v>4.2099999999999999E-2</v>
      </c>
      <c r="J186">
        <v>5.3999999999999999E-2</v>
      </c>
      <c r="K186">
        <v>4.3400329390324795E-2</v>
      </c>
      <c r="L186">
        <v>5.2797246359956272E-2</v>
      </c>
      <c r="M186">
        <v>5.2999999999999999E-2</v>
      </c>
      <c r="N186" s="13">
        <f t="shared" si="48"/>
        <v>4.8599999999999997E-2</v>
      </c>
    </row>
    <row r="187" spans="1:14" x14ac:dyDescent="0.25">
      <c r="A187" s="1365">
        <v>0.79</v>
      </c>
      <c r="B187">
        <v>6.8086928409474751E-2</v>
      </c>
      <c r="C187" s="13">
        <v>5.5242113420213929E-2</v>
      </c>
      <c r="D187">
        <v>5.3999999999999999E-2</v>
      </c>
      <c r="E187">
        <v>4.2000000000000003E-2</v>
      </c>
      <c r="F187">
        <v>4.8899999999999999E-2</v>
      </c>
      <c r="G187">
        <v>4.4999999999999998E-2</v>
      </c>
      <c r="H187">
        <v>4.5999999999999999E-2</v>
      </c>
      <c r="I187" s="1366">
        <v>4.2599999999999999E-2</v>
      </c>
      <c r="J187">
        <v>5.3999999999999999E-2</v>
      </c>
      <c r="K187">
        <v>4.3943198189272066E-2</v>
      </c>
      <c r="L187">
        <v>5.3509119174153637E-2</v>
      </c>
      <c r="M187">
        <v>5.2999999999999999E-2</v>
      </c>
      <c r="N187" s="13">
        <f t="shared" si="48"/>
        <v>4.8899999999999999E-2</v>
      </c>
    </row>
    <row r="188" spans="1:14" x14ac:dyDescent="0.25">
      <c r="A188" s="1365">
        <v>0.8</v>
      </c>
      <c r="B188">
        <v>6.8702144348932098E-2</v>
      </c>
      <c r="C188" s="13">
        <v>5.5243536155714514E-2</v>
      </c>
      <c r="D188">
        <v>5.3999999999999999E-2</v>
      </c>
      <c r="E188">
        <v>4.2000000000000003E-2</v>
      </c>
      <c r="F188">
        <v>4.9200000000000001E-2</v>
      </c>
      <c r="G188">
        <v>4.5999999999999999E-2</v>
      </c>
      <c r="H188">
        <v>4.6300000000000001E-2</v>
      </c>
      <c r="I188" s="1366">
        <v>4.3400000000000001E-2</v>
      </c>
      <c r="J188">
        <v>5.5E-2</v>
      </c>
      <c r="K188">
        <v>4.4626489699969227E-2</v>
      </c>
      <c r="L188">
        <v>5.3727303513987829E-2</v>
      </c>
      <c r="M188">
        <v>5.2999999999999999E-2</v>
      </c>
      <c r="N188" s="13">
        <f t="shared" si="48"/>
        <v>4.9200000000000001E-2</v>
      </c>
    </row>
    <row r="189" spans="1:14" x14ac:dyDescent="0.25">
      <c r="A189" s="1365">
        <v>0.81</v>
      </c>
      <c r="B189">
        <v>7.0621260709903294E-2</v>
      </c>
      <c r="C189" s="13">
        <v>5.575029847915558E-2</v>
      </c>
      <c r="D189">
        <v>5.3999999999999999E-2</v>
      </c>
      <c r="E189">
        <v>4.2999999999999997E-2</v>
      </c>
      <c r="F189">
        <v>4.9700000000000001E-2</v>
      </c>
      <c r="G189">
        <v>4.5999999999999999E-2</v>
      </c>
      <c r="H189">
        <v>4.6699999999999998E-2</v>
      </c>
      <c r="I189" s="1366">
        <v>4.4200000000000003E-2</v>
      </c>
      <c r="J189">
        <v>5.5E-2</v>
      </c>
      <c r="K189">
        <v>4.490719134222567E-2</v>
      </c>
      <c r="L189">
        <v>5.4859953782554975E-2</v>
      </c>
      <c r="M189">
        <v>5.5E-2</v>
      </c>
      <c r="N189" s="13">
        <f t="shared" si="48"/>
        <v>4.9700000000000001E-2</v>
      </c>
    </row>
    <row r="190" spans="1:14" x14ac:dyDescent="0.25">
      <c r="A190" s="1365">
        <v>0.82</v>
      </c>
      <c r="B190">
        <v>7.208997350125064E-2</v>
      </c>
      <c r="C190" s="13">
        <v>5.6415305386429762E-2</v>
      </c>
      <c r="D190">
        <v>5.5E-2</v>
      </c>
      <c r="E190">
        <v>4.2999999999999997E-2</v>
      </c>
      <c r="F190">
        <v>5.0099999999999999E-2</v>
      </c>
      <c r="G190">
        <v>4.8000000000000001E-2</v>
      </c>
      <c r="H190">
        <v>4.7100000000000003E-2</v>
      </c>
      <c r="I190" s="1366">
        <v>4.4600000000000001E-2</v>
      </c>
      <c r="J190">
        <v>5.6000000000000001E-2</v>
      </c>
      <c r="K190">
        <v>4.5554102232876328E-2</v>
      </c>
      <c r="L190">
        <v>5.5443878975215563E-2</v>
      </c>
      <c r="M190">
        <v>5.5E-2</v>
      </c>
      <c r="N190" s="13">
        <f t="shared" si="48"/>
        <v>5.0099999999999999E-2</v>
      </c>
    </row>
    <row r="191" spans="1:14" x14ac:dyDescent="0.25">
      <c r="A191" s="1365">
        <v>0.83</v>
      </c>
      <c r="B191">
        <v>7.3019154225705832E-2</v>
      </c>
      <c r="C191" s="13">
        <v>5.692601189868151E-2</v>
      </c>
      <c r="D191">
        <v>5.5E-2</v>
      </c>
      <c r="E191">
        <v>4.2999999999999997E-2</v>
      </c>
      <c r="F191">
        <v>5.0599999999999999E-2</v>
      </c>
      <c r="G191">
        <v>4.8000000000000001E-2</v>
      </c>
      <c r="H191">
        <v>4.7399999999999998E-2</v>
      </c>
      <c r="I191" s="1366">
        <v>4.4999999999999998E-2</v>
      </c>
      <c r="J191">
        <v>5.6000000000000001E-2</v>
      </c>
      <c r="K191">
        <v>4.6158273000585406E-2</v>
      </c>
      <c r="L191">
        <v>5.5737455988767316E-2</v>
      </c>
      <c r="M191">
        <v>5.6000000000000001E-2</v>
      </c>
      <c r="N191" s="13">
        <f t="shared" si="48"/>
        <v>5.0599999999999999E-2</v>
      </c>
    </row>
    <row r="192" spans="1:14" x14ac:dyDescent="0.25">
      <c r="A192" s="1365">
        <v>0.84</v>
      </c>
      <c r="B192">
        <v>7.4481387494102824E-2</v>
      </c>
      <c r="C192" s="13">
        <v>5.8616898421637587E-2</v>
      </c>
      <c r="D192">
        <v>5.6000000000000001E-2</v>
      </c>
      <c r="E192">
        <v>4.4999999999999998E-2</v>
      </c>
      <c r="F192">
        <v>5.0999999999999997E-2</v>
      </c>
      <c r="G192">
        <v>0.05</v>
      </c>
      <c r="H192">
        <v>4.7899999999999998E-2</v>
      </c>
      <c r="I192" s="1366">
        <v>4.5900000000000003E-2</v>
      </c>
      <c r="J192">
        <v>5.7000000000000002E-2</v>
      </c>
      <c r="K192">
        <v>4.6710748516301852E-2</v>
      </c>
      <c r="L192">
        <v>5.6225117343687278E-2</v>
      </c>
      <c r="M192">
        <v>5.6000000000000001E-2</v>
      </c>
      <c r="N192" s="13">
        <f t="shared" si="48"/>
        <v>5.0999999999999997E-2</v>
      </c>
    </row>
    <row r="193" spans="1:14" x14ac:dyDescent="0.25">
      <c r="A193" s="1365">
        <v>0.85</v>
      </c>
      <c r="B193">
        <v>7.5324388867625158E-2</v>
      </c>
      <c r="C193" s="13">
        <v>5.9691206288779067E-2</v>
      </c>
      <c r="D193">
        <v>5.6000000000000001E-2</v>
      </c>
      <c r="E193">
        <v>4.5999999999999999E-2</v>
      </c>
      <c r="F193">
        <v>5.1499999999999997E-2</v>
      </c>
      <c r="G193">
        <v>0.05</v>
      </c>
      <c r="H193">
        <v>4.8399999999999999E-2</v>
      </c>
      <c r="I193" s="1366">
        <v>4.6300000000000001E-2</v>
      </c>
      <c r="J193">
        <v>5.7000000000000002E-2</v>
      </c>
      <c r="K193">
        <v>4.7311128394758512E-2</v>
      </c>
      <c r="L193">
        <v>5.6652027781189176E-2</v>
      </c>
      <c r="M193">
        <v>5.7000000000000002E-2</v>
      </c>
      <c r="N193" s="13">
        <f t="shared" si="48"/>
        <v>5.1499999999999997E-2</v>
      </c>
    </row>
    <row r="194" spans="1:14" x14ac:dyDescent="0.25">
      <c r="A194" s="1365">
        <v>0.86</v>
      </c>
      <c r="B194">
        <v>7.653626822530793E-2</v>
      </c>
      <c r="C194" s="13">
        <v>5.9691648554440063E-2</v>
      </c>
      <c r="D194">
        <v>5.7000000000000002E-2</v>
      </c>
      <c r="E194">
        <v>4.5999999999999999E-2</v>
      </c>
      <c r="F194">
        <v>5.1999999999999998E-2</v>
      </c>
      <c r="G194">
        <v>5.1999999999999998E-2</v>
      </c>
      <c r="H194">
        <v>4.9000000000000002E-2</v>
      </c>
      <c r="I194" s="1366">
        <v>4.6600000000000003E-2</v>
      </c>
      <c r="J194">
        <v>5.8000000000000003E-2</v>
      </c>
      <c r="K194">
        <v>4.7611913743595011E-2</v>
      </c>
      <c r="L194">
        <v>5.739433116599571E-2</v>
      </c>
      <c r="M194">
        <v>5.7000000000000002E-2</v>
      </c>
      <c r="N194" s="13">
        <f t="shared" si="48"/>
        <v>5.1999999999999998E-2</v>
      </c>
    </row>
    <row r="195" spans="1:14" x14ac:dyDescent="0.25">
      <c r="A195" s="1365">
        <v>0.87</v>
      </c>
      <c r="B195">
        <v>7.7840120904195786E-2</v>
      </c>
      <c r="C195" s="13">
        <v>5.9752870758085649E-2</v>
      </c>
      <c r="D195">
        <v>5.7000000000000002E-2</v>
      </c>
      <c r="E195">
        <v>4.7E-2</v>
      </c>
      <c r="F195">
        <v>5.2600000000000001E-2</v>
      </c>
      <c r="G195">
        <v>5.1999999999999998E-2</v>
      </c>
      <c r="H195">
        <v>4.9399999999999999E-2</v>
      </c>
      <c r="I195" s="1366">
        <v>4.7199999999999999E-2</v>
      </c>
      <c r="J195">
        <v>5.8000000000000003E-2</v>
      </c>
      <c r="K195">
        <v>4.8867238408561865E-2</v>
      </c>
      <c r="L195">
        <v>5.7725415845998149E-2</v>
      </c>
      <c r="M195">
        <v>5.8000000000000003E-2</v>
      </c>
      <c r="N195" s="13">
        <f t="shared" si="48"/>
        <v>5.2600000000000001E-2</v>
      </c>
    </row>
    <row r="196" spans="1:14" x14ac:dyDescent="0.25">
      <c r="A196" s="1365">
        <v>0.88</v>
      </c>
      <c r="B196">
        <v>7.93648046494317E-2</v>
      </c>
      <c r="C196" s="13">
        <v>6.0875391497294755E-2</v>
      </c>
      <c r="D196">
        <v>5.8000000000000003E-2</v>
      </c>
      <c r="E196">
        <v>4.7E-2</v>
      </c>
      <c r="F196">
        <v>5.3100000000000001E-2</v>
      </c>
      <c r="G196">
        <v>5.3999999999999999E-2</v>
      </c>
      <c r="H196">
        <v>4.9799999999999997E-2</v>
      </c>
      <c r="I196" s="1366">
        <v>4.7600000000000003E-2</v>
      </c>
      <c r="J196">
        <v>6.0999999999999999E-2</v>
      </c>
      <c r="K196">
        <v>5.0138885630577869E-2</v>
      </c>
      <c r="L196">
        <v>5.8160838751054683E-2</v>
      </c>
      <c r="M196">
        <v>5.8000000000000003E-2</v>
      </c>
      <c r="N196" s="13">
        <f t="shared" si="48"/>
        <v>5.3100000000000001E-2</v>
      </c>
    </row>
    <row r="197" spans="1:14" x14ac:dyDescent="0.25">
      <c r="A197" s="1365">
        <v>0.89</v>
      </c>
      <c r="B197">
        <v>8.1545181173187486E-2</v>
      </c>
      <c r="C197" s="13">
        <v>6.1454907537522842E-2</v>
      </c>
      <c r="D197">
        <v>5.8999999999999997E-2</v>
      </c>
      <c r="E197">
        <v>4.8000000000000001E-2</v>
      </c>
      <c r="F197">
        <v>5.3800000000000001E-2</v>
      </c>
      <c r="G197">
        <v>5.3999999999999999E-2</v>
      </c>
      <c r="H197">
        <v>5.0299999999999997E-2</v>
      </c>
      <c r="I197" s="1366">
        <v>4.82E-2</v>
      </c>
      <c r="J197">
        <v>6.0999999999999999E-2</v>
      </c>
      <c r="K197">
        <v>5.0836463256344687E-2</v>
      </c>
      <c r="L197">
        <v>5.923528850859399E-2</v>
      </c>
      <c r="M197">
        <v>5.8999999999999997E-2</v>
      </c>
      <c r="N197" s="13">
        <f t="shared" si="48"/>
        <v>5.3800000000000001E-2</v>
      </c>
    </row>
    <row r="198" spans="1:14" x14ac:dyDescent="0.25">
      <c r="A198" s="1365">
        <v>0.9</v>
      </c>
      <c r="B198">
        <v>8.4057868265155114E-2</v>
      </c>
      <c r="C198" s="13">
        <v>6.3063840420152228E-2</v>
      </c>
      <c r="D198">
        <v>0.06</v>
      </c>
      <c r="E198">
        <v>4.9000000000000002E-2</v>
      </c>
      <c r="F198">
        <v>5.45E-2</v>
      </c>
      <c r="G198">
        <v>5.7000000000000002E-2</v>
      </c>
      <c r="H198">
        <v>5.0799999999999998E-2</v>
      </c>
      <c r="I198" s="1366">
        <v>4.8899999999999999E-2</v>
      </c>
      <c r="J198">
        <v>6.3E-2</v>
      </c>
      <c r="K198">
        <v>5.1543302355151227E-2</v>
      </c>
      <c r="L198">
        <v>5.9575011713021049E-2</v>
      </c>
      <c r="M198">
        <v>5.8999999999999997E-2</v>
      </c>
      <c r="N198" s="13">
        <f t="shared" si="48"/>
        <v>5.45E-2</v>
      </c>
    </row>
    <row r="199" spans="1:14" x14ac:dyDescent="0.25">
      <c r="A199" s="1365">
        <v>0.91</v>
      </c>
      <c r="B199">
        <v>8.5894904644904638E-2</v>
      </c>
      <c r="C199" s="13">
        <v>6.3201091953128327E-2</v>
      </c>
      <c r="D199">
        <v>0.06</v>
      </c>
      <c r="E199">
        <v>0.05</v>
      </c>
      <c r="F199">
        <v>5.5300000000000002E-2</v>
      </c>
      <c r="G199">
        <v>5.7000000000000002E-2</v>
      </c>
      <c r="H199">
        <v>5.1299999999999998E-2</v>
      </c>
      <c r="I199" s="1366">
        <v>4.99E-2</v>
      </c>
      <c r="J199">
        <v>6.3E-2</v>
      </c>
      <c r="K199">
        <v>5.2697383585664184E-2</v>
      </c>
      <c r="L199">
        <v>6.0520568777347739E-2</v>
      </c>
      <c r="M199">
        <v>6.0999999999999999E-2</v>
      </c>
      <c r="N199" s="13">
        <f t="shared" si="48"/>
        <v>5.5300000000000002E-2</v>
      </c>
    </row>
    <row r="200" spans="1:14" x14ac:dyDescent="0.25">
      <c r="A200" s="1365">
        <v>0.92</v>
      </c>
      <c r="B200">
        <v>8.8392506867682685E-2</v>
      </c>
      <c r="C200" s="13">
        <v>6.4655452483784431E-2</v>
      </c>
      <c r="D200">
        <v>6.0999999999999999E-2</v>
      </c>
      <c r="E200">
        <v>5.1999999999999998E-2</v>
      </c>
      <c r="F200">
        <v>5.6000000000000001E-2</v>
      </c>
      <c r="G200">
        <v>5.8000000000000003E-2</v>
      </c>
      <c r="H200">
        <v>5.16E-2</v>
      </c>
      <c r="I200" s="1366">
        <v>5.0999999999999997E-2</v>
      </c>
      <c r="J200">
        <v>6.7000000000000004E-2</v>
      </c>
      <c r="K200">
        <v>5.3513249297569516E-2</v>
      </c>
      <c r="L200">
        <v>6.0947672604396444E-2</v>
      </c>
      <c r="M200">
        <v>6.0999999999999999E-2</v>
      </c>
      <c r="N200" s="13">
        <f t="shared" si="48"/>
        <v>5.6000000000000001E-2</v>
      </c>
    </row>
    <row r="201" spans="1:14" x14ac:dyDescent="0.25">
      <c r="A201" s="1365">
        <v>0.93</v>
      </c>
      <c r="B201">
        <v>8.8507993267551446E-2</v>
      </c>
      <c r="C201" s="13">
        <v>6.691917789292362E-2</v>
      </c>
      <c r="D201">
        <v>6.3E-2</v>
      </c>
      <c r="E201">
        <v>5.2999999999999999E-2</v>
      </c>
      <c r="F201">
        <v>5.7000000000000002E-2</v>
      </c>
      <c r="G201">
        <v>5.8000000000000003E-2</v>
      </c>
      <c r="H201">
        <v>5.1999999999999998E-2</v>
      </c>
      <c r="I201" s="1366">
        <v>5.1900000000000002E-2</v>
      </c>
      <c r="J201">
        <v>6.7000000000000004E-2</v>
      </c>
      <c r="K201">
        <v>5.4491065579799471E-2</v>
      </c>
      <c r="L201">
        <v>6.1421922073415236E-2</v>
      </c>
      <c r="M201">
        <v>6.0999999999999999E-2</v>
      </c>
      <c r="N201" s="13">
        <f t="shared" si="48"/>
        <v>5.7000000000000002E-2</v>
      </c>
    </row>
    <row r="202" spans="1:14" x14ac:dyDescent="0.25">
      <c r="A202" s="1365">
        <v>0.94</v>
      </c>
      <c r="B202">
        <v>8.8892178731389521E-2</v>
      </c>
      <c r="C202" s="13">
        <v>6.9162317821826427E-2</v>
      </c>
      <c r="D202">
        <v>6.4000000000000001E-2</v>
      </c>
      <c r="E202">
        <v>5.6000000000000001E-2</v>
      </c>
      <c r="F202">
        <v>5.8099999999999999E-2</v>
      </c>
      <c r="G202">
        <v>6.0999999999999999E-2</v>
      </c>
      <c r="H202">
        <v>5.2299999999999999E-2</v>
      </c>
      <c r="I202" s="1366">
        <v>5.2400000000000002E-2</v>
      </c>
      <c r="J202">
        <v>6.9000000000000006E-2</v>
      </c>
      <c r="K202">
        <v>5.690898860325995E-2</v>
      </c>
      <c r="L202">
        <v>6.173357420539461E-2</v>
      </c>
      <c r="M202">
        <v>6.0999999999999999E-2</v>
      </c>
      <c r="N202" s="13">
        <f t="shared" si="48"/>
        <v>5.8099999999999999E-2</v>
      </c>
    </row>
    <row r="203" spans="1:14" x14ac:dyDescent="0.25">
      <c r="A203" s="1365">
        <v>0.95</v>
      </c>
      <c r="B203">
        <v>9.0897726460435466E-2</v>
      </c>
      <c r="C203" s="13">
        <v>7.0064274975743815E-2</v>
      </c>
      <c r="D203">
        <v>6.5000000000000002E-2</v>
      </c>
      <c r="E203">
        <v>5.7000000000000002E-2</v>
      </c>
      <c r="F203">
        <v>5.91E-2</v>
      </c>
      <c r="G203">
        <v>6.0999999999999999E-2</v>
      </c>
      <c r="H203">
        <v>5.3100000000000001E-2</v>
      </c>
      <c r="I203" s="1366">
        <v>5.33E-2</v>
      </c>
      <c r="J203">
        <v>7.0000000000000007E-2</v>
      </c>
      <c r="K203">
        <v>5.8092333804942796E-2</v>
      </c>
      <c r="L203">
        <v>6.1738545555584133E-2</v>
      </c>
      <c r="M203">
        <v>6.2E-2</v>
      </c>
      <c r="N203" s="13">
        <f t="shared" si="48"/>
        <v>5.91E-2</v>
      </c>
    </row>
    <row r="204" spans="1:14" x14ac:dyDescent="0.25">
      <c r="A204" s="1365">
        <v>0.96</v>
      </c>
      <c r="B204">
        <v>9.3349407697270834E-2</v>
      </c>
      <c r="C204" s="13">
        <v>7.2213601421105306E-2</v>
      </c>
      <c r="D204">
        <v>6.7000000000000004E-2</v>
      </c>
      <c r="E204">
        <v>0.06</v>
      </c>
      <c r="F204">
        <v>6.0100000000000001E-2</v>
      </c>
      <c r="G204">
        <v>6.6000000000000003E-2</v>
      </c>
      <c r="H204">
        <v>5.3999999999999999E-2</v>
      </c>
      <c r="I204" s="1366">
        <v>5.3900000000000003E-2</v>
      </c>
      <c r="J204">
        <v>7.0999999999999994E-2</v>
      </c>
      <c r="K204">
        <v>5.9821369573418728E-2</v>
      </c>
      <c r="L204">
        <v>6.5085947054748003E-2</v>
      </c>
      <c r="M204">
        <v>6.2E-2</v>
      </c>
      <c r="N204" s="13">
        <f t="shared" si="48"/>
        <v>6.0100000000000001E-2</v>
      </c>
    </row>
    <row r="205" spans="1:14" x14ac:dyDescent="0.25">
      <c r="A205" s="1365">
        <v>0.97</v>
      </c>
      <c r="B205">
        <v>9.6608644493755488E-2</v>
      </c>
      <c r="C205" s="13">
        <v>7.3513707092895078E-2</v>
      </c>
      <c r="D205">
        <v>6.8000000000000005E-2</v>
      </c>
      <c r="E205">
        <v>6.3E-2</v>
      </c>
      <c r="F205">
        <v>6.08E-2</v>
      </c>
      <c r="G205">
        <v>6.6000000000000003E-2</v>
      </c>
      <c r="H205">
        <v>5.5800000000000002E-2</v>
      </c>
      <c r="I205" s="1366">
        <v>5.6000000000000001E-2</v>
      </c>
      <c r="J205">
        <v>7.3999999999999996E-2</v>
      </c>
      <c r="K205">
        <v>6.2326218023901356E-2</v>
      </c>
      <c r="L205">
        <v>6.8772188951795363E-2</v>
      </c>
      <c r="M205">
        <v>7.0999999999999994E-2</v>
      </c>
      <c r="N205" s="13">
        <f t="shared" si="48"/>
        <v>6.08E-2</v>
      </c>
    </row>
    <row r="206" spans="1:14" x14ac:dyDescent="0.25">
      <c r="A206" s="1365">
        <v>0.98</v>
      </c>
      <c r="B206">
        <v>0.10321427746003986</v>
      </c>
      <c r="C206" s="13">
        <v>7.7387194307220908E-2</v>
      </c>
      <c r="D206">
        <v>7.0999999999999994E-2</v>
      </c>
      <c r="E206">
        <v>6.5000000000000002E-2</v>
      </c>
      <c r="F206">
        <v>6.2199999999999998E-2</v>
      </c>
      <c r="G206">
        <v>6.7000000000000004E-2</v>
      </c>
      <c r="H206">
        <v>5.7200000000000001E-2</v>
      </c>
      <c r="I206" s="1366">
        <v>5.7299999999999997E-2</v>
      </c>
      <c r="J206">
        <v>7.5999999999999998E-2</v>
      </c>
      <c r="K206">
        <v>6.6453464589083813E-2</v>
      </c>
      <c r="L206">
        <v>7.536993459126444E-2</v>
      </c>
      <c r="M206">
        <v>7.0999999999999994E-2</v>
      </c>
      <c r="N206" s="13">
        <f t="shared" si="48"/>
        <v>6.2199999999999998E-2</v>
      </c>
    </row>
    <row r="207" spans="1:14" x14ac:dyDescent="0.25">
      <c r="A207" s="1365">
        <v>0.99</v>
      </c>
      <c r="B207">
        <v>0.1085207956172423</v>
      </c>
      <c r="C207" s="13">
        <v>8.8506044304221779E-2</v>
      </c>
      <c r="D207">
        <v>7.3999999999999996E-2</v>
      </c>
      <c r="E207">
        <v>7.1999999999999995E-2</v>
      </c>
      <c r="F207">
        <v>6.4399999999999999E-2</v>
      </c>
      <c r="G207">
        <v>8.5000000000000006E-2</v>
      </c>
      <c r="H207">
        <v>5.8999999999999997E-2</v>
      </c>
      <c r="I207" s="1366">
        <v>5.8999999999999997E-2</v>
      </c>
      <c r="J207">
        <v>8.2000000000000003E-2</v>
      </c>
      <c r="K207">
        <v>7.2329902273689503E-2</v>
      </c>
      <c r="L207">
        <v>7.9386831545028833E-2</v>
      </c>
      <c r="M207">
        <v>8.4000000000000005E-2</v>
      </c>
      <c r="N207" s="13">
        <f t="shared" si="48"/>
        <v>6.4399999999999999E-2</v>
      </c>
    </row>
    <row r="208" spans="1:14" x14ac:dyDescent="0.25">
      <c r="A208" s="1365">
        <v>1</v>
      </c>
      <c r="B208">
        <v>0.1200899142042287</v>
      </c>
      <c r="C208" s="13">
        <v>9.6660391685772368E-2</v>
      </c>
      <c r="D208">
        <v>0.08</v>
      </c>
      <c r="E208">
        <v>8.1000000000000003E-2</v>
      </c>
      <c r="F208">
        <v>6.6600000000000006E-2</v>
      </c>
      <c r="G208">
        <v>9.0999999999999998E-2</v>
      </c>
      <c r="H208">
        <v>6.0400000000000002E-2</v>
      </c>
      <c r="I208" s="1366">
        <v>6.0199999999999997E-2</v>
      </c>
      <c r="J208">
        <v>0.1</v>
      </c>
      <c r="K208">
        <v>8.3366567875361341E-2</v>
      </c>
      <c r="L208">
        <v>9.0188640466516673E-2</v>
      </c>
      <c r="M208">
        <v>8.4000000000000005E-2</v>
      </c>
      <c r="N208" s="13">
        <f t="shared" si="48"/>
        <v>6.6600000000000006E-2</v>
      </c>
    </row>
    <row r="209" spans="1:14" s="13" customFormat="1" x14ac:dyDescent="0.25">
      <c r="A209" s="1365" t="s">
        <v>1992</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1856</v>
      </c>
      <c r="B210">
        <f ca="1">AVERAGE('классы ЭЭ и выбросы ПГ'!$Y$53)</f>
        <v>3.2635606901422663E-2</v>
      </c>
      <c r="C210" s="13">
        <f ca="1">B210</f>
        <v>3.2635606901422663E-2</v>
      </c>
      <c r="D210">
        <f ca="1">AVERAGE('классы ЭЭ и выбросы ПГ'!$Z$53:$AA$53)</f>
        <v>2.8555361467056808E-2</v>
      </c>
      <c r="E210" s="13">
        <f ca="1">D210</f>
        <v>2.8555361467056808E-2</v>
      </c>
      <c r="F210" s="13">
        <f ca="1">AVERAGE('классы ЭЭ и выбросы ПГ'!$AB$53:$AC$53)</f>
        <v>2.3119801651363805E-2</v>
      </c>
      <c r="G210" s="13">
        <f ca="1">F210</f>
        <v>2.3119801651363805E-2</v>
      </c>
      <c r="H210" s="13">
        <f ca="1">AVERAGE('классы ЭЭ и выбросы ПГ'!$AD$53:$AE$53)</f>
        <v>2.0939538980257626E-2</v>
      </c>
      <c r="I210" s="13">
        <f ca="1">H210</f>
        <v>2.0939538980257626E-2</v>
      </c>
      <c r="J210" s="13">
        <f ca="1">AVERAGE('классы ЭЭ и выбросы ПГ'!$AF$53:$AG$53)</f>
        <v>1.9853380503144655E-2</v>
      </c>
      <c r="K210" s="13">
        <f ca="1">J210</f>
        <v>1.9853380503144655E-2</v>
      </c>
      <c r="L210" s="13">
        <f ca="1">AVERAGE('классы ЭЭ и выбросы ПГ'!$AH$53:$AN$53)</f>
        <v>1.8514602181638806E-2</v>
      </c>
      <c r="M210" s="13">
        <f ca="1">L210</f>
        <v>1.8514602181638806E-2</v>
      </c>
    </row>
    <row r="211" spans="1:14" s="13" customFormat="1" x14ac:dyDescent="0.25">
      <c r="A211" s="13" t="s">
        <v>1855</v>
      </c>
      <c r="B211" s="13">
        <f ca="1">0.4*B210</f>
        <v>1.3054242760569067E-2</v>
      </c>
      <c r="C211" s="13">
        <f t="shared" ref="C211:M211" ca="1" si="49">0.4*C210</f>
        <v>1.3054242760569067E-2</v>
      </c>
      <c r="D211" s="13">
        <f t="shared" ca="1" si="49"/>
        <v>1.1422144586822724E-2</v>
      </c>
      <c r="E211" s="13">
        <f t="shared" ca="1" si="49"/>
        <v>1.1422144586822724E-2</v>
      </c>
      <c r="F211" s="13">
        <f t="shared" ca="1" si="49"/>
        <v>9.2479206605455225E-3</v>
      </c>
      <c r="G211" s="13">
        <f t="shared" ca="1" si="49"/>
        <v>9.2479206605455225E-3</v>
      </c>
      <c r="H211" s="13">
        <f t="shared" ca="1" si="49"/>
        <v>8.3758155921030506E-3</v>
      </c>
      <c r="I211" s="13">
        <f t="shared" ca="1" si="49"/>
        <v>8.3758155921030506E-3</v>
      </c>
      <c r="J211" s="13">
        <f t="shared" ca="1" si="49"/>
        <v>7.9413522012578616E-3</v>
      </c>
      <c r="K211" s="13">
        <f t="shared" ca="1" si="49"/>
        <v>7.9413522012578616E-3</v>
      </c>
      <c r="L211" s="13">
        <f t="shared" ca="1" si="49"/>
        <v>7.4058408726555228E-3</v>
      </c>
      <c r="M211" s="13">
        <f t="shared" ca="1" si="49"/>
        <v>7.4058408726555228E-3</v>
      </c>
    </row>
    <row r="212" spans="1:14" x14ac:dyDescent="0.25">
      <c r="A212"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4" x14ac:dyDescent="0.25">
      <c r="A213" s="1365">
        <v>0</v>
      </c>
      <c r="B213">
        <v>17.5</v>
      </c>
      <c r="C213" s="1375">
        <f>E213</f>
        <v>13</v>
      </c>
      <c r="D213" s="1375">
        <v>25.87</v>
      </c>
      <c r="E213" s="1375">
        <v>13</v>
      </c>
      <c r="F213">
        <v>25.87</v>
      </c>
      <c r="G213">
        <v>13</v>
      </c>
      <c r="H213">
        <v>26.59</v>
      </c>
      <c r="I213" s="1366">
        <v>25.67</v>
      </c>
      <c r="J213">
        <v>21.8</v>
      </c>
      <c r="K213">
        <v>19.302686663441381</v>
      </c>
      <c r="L213">
        <v>12.652695903578268</v>
      </c>
      <c r="M213">
        <v>12.652695903578268</v>
      </c>
      <c r="N213" s="13">
        <f>$B$106*B213+$C$106*C213+$D$106*D213+$E$106*E213+$F$106*F213+$G$106*G213+$H$106*H213+$I$106*I213+$J$106*J213+$K$106*K213+$L$106*L213+$M$106*M213</f>
        <v>25.87</v>
      </c>
    </row>
    <row r="214" spans="1:14" x14ac:dyDescent="0.25">
      <c r="A214" s="1365">
        <v>0.01</v>
      </c>
      <c r="B214">
        <v>17.7</v>
      </c>
      <c r="C214" s="1375">
        <f t="shared" ref="C214:C277" si="50">E214</f>
        <v>13.8</v>
      </c>
      <c r="D214" s="1375">
        <v>27.43</v>
      </c>
      <c r="E214" s="1375">
        <v>13.8</v>
      </c>
      <c r="F214">
        <v>27.43</v>
      </c>
      <c r="G214">
        <v>13.8</v>
      </c>
      <c r="H214">
        <v>28.27</v>
      </c>
      <c r="I214" s="1366">
        <v>25.95</v>
      </c>
      <c r="J214">
        <v>21.8</v>
      </c>
      <c r="K214">
        <v>19.302686663441381</v>
      </c>
      <c r="L214">
        <v>12.652695903578268</v>
      </c>
      <c r="M214">
        <v>12.652695903578268</v>
      </c>
      <c r="N214" s="13">
        <f t="shared" ref="N214:N277" si="51">$B$106*B214+$C$106*C214+$D$106*D214+$E$106*E214+$F$106*F214+$G$106*G214+$H$106*H214+$I$106*I214+$J$106*J214+$K$106*K214+$L$106*L214+$M$106*M214</f>
        <v>27.43</v>
      </c>
    </row>
    <row r="215" spans="1:14" x14ac:dyDescent="0.25">
      <c r="A215" s="1365">
        <v>0.02</v>
      </c>
      <c r="B215">
        <v>19.399999999999999</v>
      </c>
      <c r="C215" s="1375">
        <f t="shared" si="50"/>
        <v>13.9</v>
      </c>
      <c r="D215" s="1375">
        <v>29.24</v>
      </c>
      <c r="E215" s="1375">
        <v>13.9</v>
      </c>
      <c r="F215">
        <v>29.24</v>
      </c>
      <c r="G215">
        <v>13.9</v>
      </c>
      <c r="H215">
        <v>31.79</v>
      </c>
      <c r="I215" s="1366">
        <v>26.35</v>
      </c>
      <c r="J215">
        <v>21.8</v>
      </c>
      <c r="K215">
        <v>19.902212443466571</v>
      </c>
      <c r="L215">
        <v>21.256977347397545</v>
      </c>
      <c r="M215">
        <v>21.256977347397545</v>
      </c>
      <c r="N215" s="13">
        <f t="shared" si="51"/>
        <v>29.24</v>
      </c>
    </row>
    <row r="216" spans="1:14" x14ac:dyDescent="0.25">
      <c r="A216" s="1365">
        <v>0.03</v>
      </c>
      <c r="B216">
        <v>20.7</v>
      </c>
      <c r="C216" s="1375">
        <f t="shared" si="50"/>
        <v>15.3</v>
      </c>
      <c r="D216" s="1375">
        <v>31.03</v>
      </c>
      <c r="E216" s="1375">
        <v>15.3</v>
      </c>
      <c r="F216">
        <v>31.03</v>
      </c>
      <c r="G216">
        <v>15.3</v>
      </c>
      <c r="H216">
        <v>34.49</v>
      </c>
      <c r="I216" s="1366">
        <v>26.67</v>
      </c>
      <c r="J216">
        <v>29.6</v>
      </c>
      <c r="K216">
        <v>21.826650150722426</v>
      </c>
      <c r="L216">
        <v>23.142820727040728</v>
      </c>
      <c r="M216">
        <v>23.142820727040728</v>
      </c>
      <c r="N216" s="13">
        <f t="shared" si="51"/>
        <v>31.03</v>
      </c>
    </row>
    <row r="217" spans="1:14" x14ac:dyDescent="0.25">
      <c r="A217" s="1365">
        <v>0.04</v>
      </c>
      <c r="B217">
        <v>23</v>
      </c>
      <c r="C217" s="1375">
        <f t="shared" si="50"/>
        <v>16.3</v>
      </c>
      <c r="D217" s="1375">
        <v>33.21</v>
      </c>
      <c r="E217" s="1375">
        <v>16.3</v>
      </c>
      <c r="F217">
        <v>33.21</v>
      </c>
      <c r="G217">
        <v>16.3</v>
      </c>
      <c r="H217">
        <v>37.229999999999997</v>
      </c>
      <c r="I217" s="1366">
        <v>27.34</v>
      </c>
      <c r="J217">
        <v>29.6</v>
      </c>
      <c r="K217">
        <v>23.154899745834509</v>
      </c>
      <c r="L217">
        <v>26.592787674317652</v>
      </c>
      <c r="M217">
        <v>26.592787674317652</v>
      </c>
      <c r="N217" s="13">
        <f t="shared" si="51"/>
        <v>33.21</v>
      </c>
    </row>
    <row r="218" spans="1:14" x14ac:dyDescent="0.25">
      <c r="A218" s="1365">
        <v>0.05</v>
      </c>
      <c r="B218">
        <v>24.4</v>
      </c>
      <c r="C218" s="1375">
        <f t="shared" si="50"/>
        <v>16.5</v>
      </c>
      <c r="D218" s="1375">
        <v>34.26</v>
      </c>
      <c r="E218" s="1375">
        <v>16.5</v>
      </c>
      <c r="F218">
        <v>34.26</v>
      </c>
      <c r="G218">
        <v>16.5</v>
      </c>
      <c r="H218">
        <v>39.659999999999997</v>
      </c>
      <c r="I218" s="1366">
        <v>27.62</v>
      </c>
      <c r="J218">
        <v>34.5</v>
      </c>
      <c r="K218">
        <v>26.023874749247742</v>
      </c>
      <c r="L218">
        <v>33.388413706599771</v>
      </c>
      <c r="M218">
        <v>33.388413706599771</v>
      </c>
      <c r="N218" s="13">
        <f t="shared" si="51"/>
        <v>34.26</v>
      </c>
    </row>
    <row r="219" spans="1:14" x14ac:dyDescent="0.25">
      <c r="A219" s="1365">
        <v>0.06</v>
      </c>
      <c r="B219">
        <v>26.9</v>
      </c>
      <c r="C219" s="1375">
        <f t="shared" si="50"/>
        <v>18.2</v>
      </c>
      <c r="D219" s="1375">
        <v>35.880000000000003</v>
      </c>
      <c r="E219" s="1375">
        <v>18.2</v>
      </c>
      <c r="F219">
        <v>35.880000000000003</v>
      </c>
      <c r="G219">
        <v>18.2</v>
      </c>
      <c r="H219">
        <v>41.32</v>
      </c>
      <c r="I219" s="1366">
        <v>28</v>
      </c>
      <c r="J219">
        <v>34.5</v>
      </c>
      <c r="K219">
        <v>26.997302214693516</v>
      </c>
      <c r="L219">
        <v>36.863434737256114</v>
      </c>
      <c r="M219">
        <v>36.863434737256114</v>
      </c>
      <c r="N219" s="13">
        <f t="shared" si="51"/>
        <v>35.880000000000003</v>
      </c>
    </row>
    <row r="220" spans="1:14" x14ac:dyDescent="0.25">
      <c r="A220" s="1365">
        <v>7.0000000000000007E-2</v>
      </c>
      <c r="B220">
        <v>26.9</v>
      </c>
      <c r="C220" s="1375">
        <f t="shared" si="50"/>
        <v>18.5</v>
      </c>
      <c r="D220" s="1375">
        <v>37.03</v>
      </c>
      <c r="E220" s="1375">
        <v>18.5</v>
      </c>
      <c r="F220">
        <v>37.03</v>
      </c>
      <c r="G220">
        <v>18.5</v>
      </c>
      <c r="H220">
        <v>42.39</v>
      </c>
      <c r="I220" s="1366">
        <v>28.35</v>
      </c>
      <c r="J220">
        <v>34.5</v>
      </c>
      <c r="K220">
        <v>27.957884492964652</v>
      </c>
      <c r="L220">
        <v>44.664575656634142</v>
      </c>
      <c r="M220">
        <v>44.664575656634142</v>
      </c>
      <c r="N220" s="13">
        <f t="shared" si="51"/>
        <v>37.03</v>
      </c>
    </row>
    <row r="221" spans="1:14" x14ac:dyDescent="0.25">
      <c r="A221" s="1365">
        <v>0.08</v>
      </c>
      <c r="B221">
        <v>29.8</v>
      </c>
      <c r="C221" s="1375">
        <f t="shared" si="50"/>
        <v>20.2</v>
      </c>
      <c r="D221" s="1375">
        <v>39.380000000000003</v>
      </c>
      <c r="E221" s="1375">
        <v>20.2</v>
      </c>
      <c r="F221">
        <v>39.380000000000003</v>
      </c>
      <c r="G221">
        <v>20.2</v>
      </c>
      <c r="H221">
        <v>43.32</v>
      </c>
      <c r="I221" s="1366">
        <v>28.99</v>
      </c>
      <c r="J221">
        <v>37.1</v>
      </c>
      <c r="K221">
        <v>28.202084405840274</v>
      </c>
      <c r="L221">
        <v>45.697145030237827</v>
      </c>
      <c r="M221">
        <v>45.697145030237827</v>
      </c>
      <c r="N221" s="13">
        <f t="shared" si="51"/>
        <v>39.380000000000003</v>
      </c>
    </row>
    <row r="222" spans="1:14" x14ac:dyDescent="0.25">
      <c r="A222" s="1365">
        <v>0.09</v>
      </c>
      <c r="B222">
        <v>29.8</v>
      </c>
      <c r="C222" s="1375">
        <f t="shared" si="50"/>
        <v>25.4</v>
      </c>
      <c r="D222" s="1375">
        <v>40.81</v>
      </c>
      <c r="E222" s="1375">
        <v>25.4</v>
      </c>
      <c r="F222">
        <v>40.81</v>
      </c>
      <c r="G222">
        <v>25.4</v>
      </c>
      <c r="H222">
        <v>44.07</v>
      </c>
      <c r="I222" s="1366">
        <v>29.36</v>
      </c>
      <c r="J222">
        <v>37.1</v>
      </c>
      <c r="K222">
        <v>28.69296645540269</v>
      </c>
      <c r="L222">
        <v>47.631190056167242</v>
      </c>
      <c r="M222">
        <v>47.631190056167242</v>
      </c>
      <c r="N222" s="13">
        <f t="shared" si="51"/>
        <v>40.81</v>
      </c>
    </row>
    <row r="223" spans="1:14" x14ac:dyDescent="0.25">
      <c r="A223" s="1365">
        <v>0.1</v>
      </c>
      <c r="B223">
        <v>33</v>
      </c>
      <c r="C223" s="1375">
        <f t="shared" si="50"/>
        <v>25.55</v>
      </c>
      <c r="D223" s="1375">
        <v>43.01</v>
      </c>
      <c r="E223" s="1375">
        <v>25.55</v>
      </c>
      <c r="F223">
        <v>43.01</v>
      </c>
      <c r="G223">
        <v>25.55</v>
      </c>
      <c r="H223">
        <v>44.99</v>
      </c>
      <c r="I223" s="1366">
        <v>29.59</v>
      </c>
      <c r="J223">
        <v>40.700000000000003</v>
      </c>
      <c r="K223">
        <v>29.386786638727969</v>
      </c>
      <c r="L223">
        <v>49.886683377516476</v>
      </c>
      <c r="M223">
        <v>49.886683377516476</v>
      </c>
      <c r="N223" s="13">
        <f t="shared" si="51"/>
        <v>43.01</v>
      </c>
    </row>
    <row r="224" spans="1:14" x14ac:dyDescent="0.25">
      <c r="A224" s="1365">
        <v>0.11</v>
      </c>
      <c r="B224">
        <v>33</v>
      </c>
      <c r="C224" s="1375">
        <f t="shared" si="50"/>
        <v>27</v>
      </c>
      <c r="D224" s="1375">
        <v>43.7</v>
      </c>
      <c r="E224" s="1375">
        <v>27</v>
      </c>
      <c r="F224">
        <v>43.7</v>
      </c>
      <c r="G224">
        <v>27</v>
      </c>
      <c r="H224">
        <v>46</v>
      </c>
      <c r="I224" s="1366">
        <v>30.02</v>
      </c>
      <c r="J224">
        <v>40.700000000000003</v>
      </c>
      <c r="K224">
        <v>30.859572346554398</v>
      </c>
      <c r="L224">
        <v>53.812123431310546</v>
      </c>
      <c r="M224">
        <v>53.812123431310546</v>
      </c>
      <c r="N224" s="13">
        <f t="shared" si="51"/>
        <v>43.7</v>
      </c>
    </row>
    <row r="225" spans="1:14" x14ac:dyDescent="0.25">
      <c r="A225" s="1365">
        <v>0.12</v>
      </c>
      <c r="B225">
        <v>36.700000000000003</v>
      </c>
      <c r="C225" s="1375">
        <f t="shared" si="50"/>
        <v>27.2</v>
      </c>
      <c r="D225" s="1375">
        <v>44.43</v>
      </c>
      <c r="E225" s="1375">
        <v>27.2</v>
      </c>
      <c r="F225">
        <v>44.43</v>
      </c>
      <c r="G225">
        <v>27.2</v>
      </c>
      <c r="H225">
        <v>46.8</v>
      </c>
      <c r="I225" s="1366">
        <v>30.36</v>
      </c>
      <c r="J225">
        <v>43.8</v>
      </c>
      <c r="K225">
        <v>31.334967525665199</v>
      </c>
      <c r="L225">
        <v>57.092073390712777</v>
      </c>
      <c r="M225">
        <v>56.897633608082955</v>
      </c>
      <c r="N225" s="13">
        <f t="shared" si="51"/>
        <v>44.43</v>
      </c>
    </row>
    <row r="226" spans="1:14" x14ac:dyDescent="0.25">
      <c r="A226" s="1365">
        <v>0.13</v>
      </c>
      <c r="B226">
        <v>36.700000000000003</v>
      </c>
      <c r="C226" s="1375">
        <f t="shared" si="50"/>
        <v>28.1</v>
      </c>
      <c r="D226" s="1375">
        <v>45.09</v>
      </c>
      <c r="E226" s="1375">
        <v>28.1</v>
      </c>
      <c r="F226">
        <v>45.09</v>
      </c>
      <c r="G226">
        <v>28.1</v>
      </c>
      <c r="H226">
        <v>47.38</v>
      </c>
      <c r="I226" s="1366">
        <v>30.58</v>
      </c>
      <c r="J226">
        <v>43.8</v>
      </c>
      <c r="K226">
        <v>31.933591400284485</v>
      </c>
      <c r="L226">
        <v>59.139134340088695</v>
      </c>
      <c r="M226">
        <v>57.819445386587795</v>
      </c>
      <c r="N226" s="13">
        <f t="shared" si="51"/>
        <v>45.09</v>
      </c>
    </row>
    <row r="227" spans="1:14" x14ac:dyDescent="0.25">
      <c r="A227" s="1365">
        <v>0.14000000000000001</v>
      </c>
      <c r="B227">
        <v>39.299999999999997</v>
      </c>
      <c r="C227" s="1375">
        <f t="shared" si="50"/>
        <v>28.5</v>
      </c>
      <c r="D227" s="1375">
        <v>46.65</v>
      </c>
      <c r="E227" s="1375">
        <v>28.5</v>
      </c>
      <c r="F227">
        <v>46.65</v>
      </c>
      <c r="G227">
        <v>28.5</v>
      </c>
      <c r="H227">
        <v>48.26</v>
      </c>
      <c r="I227" s="1366">
        <v>30.9</v>
      </c>
      <c r="J227">
        <v>45.6</v>
      </c>
      <c r="K227">
        <v>32.757638713057148</v>
      </c>
      <c r="L227">
        <v>60.084877326034004</v>
      </c>
      <c r="M227">
        <v>59.801812746556735</v>
      </c>
      <c r="N227" s="13">
        <f t="shared" si="51"/>
        <v>46.65</v>
      </c>
    </row>
    <row r="228" spans="1:14" x14ac:dyDescent="0.25">
      <c r="A228" s="1365">
        <v>0.15</v>
      </c>
      <c r="B228">
        <v>39.299999999999997</v>
      </c>
      <c r="C228" s="1375">
        <f t="shared" si="50"/>
        <v>28.6</v>
      </c>
      <c r="D228" s="1375">
        <v>48.2</v>
      </c>
      <c r="E228" s="1375">
        <v>28.6</v>
      </c>
      <c r="F228">
        <v>48.2</v>
      </c>
      <c r="G228">
        <v>28.6</v>
      </c>
      <c r="H228">
        <v>48.79</v>
      </c>
      <c r="I228" s="1366">
        <v>31.33</v>
      </c>
      <c r="J228">
        <v>45.6</v>
      </c>
      <c r="K228">
        <v>33.765216579536968</v>
      </c>
      <c r="L228">
        <v>61.928230022404776</v>
      </c>
      <c r="M228">
        <v>61.928230022404776</v>
      </c>
      <c r="N228" s="13">
        <f t="shared" si="51"/>
        <v>48.2</v>
      </c>
    </row>
    <row r="229" spans="1:14" x14ac:dyDescent="0.25">
      <c r="A229" s="1365">
        <v>0.16</v>
      </c>
      <c r="B229">
        <v>42.2</v>
      </c>
      <c r="C229" s="1375">
        <f t="shared" si="50"/>
        <v>28.7</v>
      </c>
      <c r="D229" s="1375">
        <v>49.74</v>
      </c>
      <c r="E229" s="1375">
        <v>28.7</v>
      </c>
      <c r="F229">
        <v>49.74</v>
      </c>
      <c r="G229">
        <v>28.7</v>
      </c>
      <c r="H229">
        <v>49.79</v>
      </c>
      <c r="I229" s="1366">
        <v>31.68</v>
      </c>
      <c r="J229">
        <v>47.4</v>
      </c>
      <c r="K229">
        <v>34.746847017448935</v>
      </c>
      <c r="L229">
        <v>63.309953442243597</v>
      </c>
      <c r="M229">
        <v>64.520453318942259</v>
      </c>
      <c r="N229" s="13">
        <f t="shared" si="51"/>
        <v>49.74</v>
      </c>
    </row>
    <row r="230" spans="1:14" x14ac:dyDescent="0.25">
      <c r="A230" s="1365">
        <v>0.17</v>
      </c>
      <c r="B230">
        <v>42.2</v>
      </c>
      <c r="C230" s="1375">
        <f t="shared" si="50"/>
        <v>30.2</v>
      </c>
      <c r="D230" s="1375">
        <v>50.41</v>
      </c>
      <c r="E230" s="1375">
        <v>30.2</v>
      </c>
      <c r="F230">
        <v>50.41</v>
      </c>
      <c r="G230">
        <v>30.2</v>
      </c>
      <c r="H230">
        <v>50.66</v>
      </c>
      <c r="I230" s="1366">
        <v>32.08</v>
      </c>
      <c r="J230">
        <v>47.4</v>
      </c>
      <c r="K230">
        <v>36.145625581704564</v>
      </c>
      <c r="L230">
        <v>64.658885772565029</v>
      </c>
      <c r="M230">
        <v>64.784788878634046</v>
      </c>
      <c r="N230" s="13">
        <f t="shared" si="51"/>
        <v>50.41</v>
      </c>
    </row>
    <row r="231" spans="1:14" x14ac:dyDescent="0.25">
      <c r="A231" s="1365">
        <v>0.18</v>
      </c>
      <c r="B231">
        <v>44.6</v>
      </c>
      <c r="C231" s="1375">
        <f t="shared" si="50"/>
        <v>31.2</v>
      </c>
      <c r="D231" s="1375">
        <v>51.37</v>
      </c>
      <c r="E231" s="1375">
        <v>31.2</v>
      </c>
      <c r="F231">
        <v>51.37</v>
      </c>
      <c r="G231">
        <v>31.2</v>
      </c>
      <c r="H231">
        <v>51.09</v>
      </c>
      <c r="I231" s="1366">
        <v>32.64</v>
      </c>
      <c r="J231">
        <v>49.4</v>
      </c>
      <c r="K231">
        <v>36.355215234162152</v>
      </c>
      <c r="L231">
        <v>65.188425581202949</v>
      </c>
      <c r="M231">
        <v>65.227500000000006</v>
      </c>
      <c r="N231" s="13">
        <f t="shared" si="51"/>
        <v>51.37</v>
      </c>
    </row>
    <row r="232" spans="1:14" x14ac:dyDescent="0.25">
      <c r="A232" s="1365">
        <v>0.19</v>
      </c>
      <c r="B232">
        <v>44.6</v>
      </c>
      <c r="C232" s="1375">
        <f t="shared" si="50"/>
        <v>31.9</v>
      </c>
      <c r="D232" s="1375">
        <v>52.03</v>
      </c>
      <c r="E232" s="1375">
        <v>31.9</v>
      </c>
      <c r="F232">
        <v>52.03</v>
      </c>
      <c r="G232">
        <v>31.9</v>
      </c>
      <c r="H232">
        <v>51.57</v>
      </c>
      <c r="I232" s="1366">
        <v>33.32</v>
      </c>
      <c r="J232">
        <v>49.4</v>
      </c>
      <c r="K232">
        <v>37.059246242955538</v>
      </c>
      <c r="L232">
        <v>66.355471562275014</v>
      </c>
      <c r="M232">
        <v>66.445253626180062</v>
      </c>
      <c r="N232" s="13">
        <f t="shared" si="51"/>
        <v>52.03</v>
      </c>
    </row>
    <row r="233" spans="1:14" x14ac:dyDescent="0.25">
      <c r="A233" s="1365">
        <v>0.2</v>
      </c>
      <c r="B233">
        <v>46</v>
      </c>
      <c r="C233" s="1375">
        <f t="shared" si="50"/>
        <v>32.4</v>
      </c>
      <c r="D233" s="1375">
        <v>53.09</v>
      </c>
      <c r="E233" s="1375">
        <v>32.4</v>
      </c>
      <c r="F233">
        <v>53.09</v>
      </c>
      <c r="G233">
        <v>32.4</v>
      </c>
      <c r="H233">
        <v>51.92</v>
      </c>
      <c r="I233" s="1366">
        <v>33.78</v>
      </c>
      <c r="J233">
        <v>51.7</v>
      </c>
      <c r="K233">
        <v>37.85368094328075</v>
      </c>
      <c r="L233">
        <v>67.755209969909203</v>
      </c>
      <c r="M233">
        <v>69.248618899273112</v>
      </c>
      <c r="N233" s="13">
        <f t="shared" si="51"/>
        <v>53.09</v>
      </c>
    </row>
    <row r="234" spans="1:14" x14ac:dyDescent="0.25">
      <c r="A234" s="1365">
        <v>0.21</v>
      </c>
      <c r="B234">
        <v>46</v>
      </c>
      <c r="C234" s="1375">
        <f t="shared" si="50"/>
        <v>33.299999999999997</v>
      </c>
      <c r="D234" s="1375">
        <v>53.56</v>
      </c>
      <c r="E234" s="1375">
        <v>33.299999999999997</v>
      </c>
      <c r="F234">
        <v>53.56</v>
      </c>
      <c r="G234">
        <v>33.299999999999997</v>
      </c>
      <c r="H234">
        <v>52.85</v>
      </c>
      <c r="I234" s="1366">
        <v>34.29</v>
      </c>
      <c r="J234">
        <v>51.7</v>
      </c>
      <c r="K234">
        <v>38.45562330933933</v>
      </c>
      <c r="L234">
        <v>69.335361381734543</v>
      </c>
      <c r="M234">
        <v>69.432407458184812</v>
      </c>
      <c r="N234" s="13">
        <f t="shared" si="51"/>
        <v>53.56</v>
      </c>
    </row>
    <row r="235" spans="1:14" x14ac:dyDescent="0.25">
      <c r="A235" s="1365">
        <v>0.22</v>
      </c>
      <c r="B235">
        <v>47.3</v>
      </c>
      <c r="C235" s="1375">
        <f t="shared" si="50"/>
        <v>33.4</v>
      </c>
      <c r="D235" s="1375">
        <v>54.36</v>
      </c>
      <c r="E235" s="1375">
        <v>33.4</v>
      </c>
      <c r="F235">
        <v>54.36</v>
      </c>
      <c r="G235">
        <v>33.4</v>
      </c>
      <c r="H235">
        <v>53.62</v>
      </c>
      <c r="I235" s="1366">
        <v>34.9</v>
      </c>
      <c r="J235">
        <v>54.2</v>
      </c>
      <c r="K235">
        <v>39.017669108877158</v>
      </c>
      <c r="L235">
        <v>69.523841089534031</v>
      </c>
      <c r="M235">
        <v>70.024383389574311</v>
      </c>
      <c r="N235" s="13">
        <f t="shared" si="51"/>
        <v>54.36</v>
      </c>
    </row>
    <row r="236" spans="1:14" x14ac:dyDescent="0.25">
      <c r="A236" s="1365">
        <v>0.23</v>
      </c>
      <c r="B236">
        <v>47.3</v>
      </c>
      <c r="C236" s="1375">
        <f t="shared" si="50"/>
        <v>33.700000000000003</v>
      </c>
      <c r="D236" s="1375">
        <v>55.19</v>
      </c>
      <c r="E236" s="1375">
        <v>33.700000000000003</v>
      </c>
      <c r="F236">
        <v>55.19</v>
      </c>
      <c r="G236">
        <v>33.700000000000003</v>
      </c>
      <c r="H236">
        <v>54.18</v>
      </c>
      <c r="I236" s="1366">
        <v>35.72</v>
      </c>
      <c r="J236">
        <v>54.2</v>
      </c>
      <c r="K236">
        <v>39.160289342315707</v>
      </c>
      <c r="L236">
        <v>71.016278695078796</v>
      </c>
      <c r="M236">
        <v>71.305321905521225</v>
      </c>
      <c r="N236" s="13">
        <f t="shared" si="51"/>
        <v>55.19</v>
      </c>
    </row>
    <row r="237" spans="1:14" x14ac:dyDescent="0.25">
      <c r="A237" s="1365">
        <v>0.24</v>
      </c>
      <c r="B237">
        <v>48.9</v>
      </c>
      <c r="C237" s="1375">
        <f t="shared" si="50"/>
        <v>34.5</v>
      </c>
      <c r="D237" s="1375">
        <v>56.04</v>
      </c>
      <c r="E237" s="1375">
        <v>34.5</v>
      </c>
      <c r="F237">
        <v>56.04</v>
      </c>
      <c r="G237">
        <v>34.5</v>
      </c>
      <c r="H237">
        <v>54.84</v>
      </c>
      <c r="I237" s="1366">
        <v>36.39</v>
      </c>
      <c r="J237">
        <v>55.8</v>
      </c>
      <c r="K237">
        <v>39.757334774224994</v>
      </c>
      <c r="L237">
        <v>73.133301702693416</v>
      </c>
      <c r="M237">
        <v>73.428162218791357</v>
      </c>
      <c r="N237" s="13">
        <f t="shared" si="51"/>
        <v>56.04</v>
      </c>
    </row>
    <row r="238" spans="1:14" x14ac:dyDescent="0.25">
      <c r="A238" s="1365">
        <v>0.25</v>
      </c>
      <c r="B238">
        <v>48.9</v>
      </c>
      <c r="C238" s="1375">
        <f t="shared" si="50"/>
        <v>34.799999999999997</v>
      </c>
      <c r="D238" s="1375">
        <v>57.15</v>
      </c>
      <c r="E238" s="1375">
        <v>34.799999999999997</v>
      </c>
      <c r="F238">
        <v>57.15</v>
      </c>
      <c r="G238">
        <v>34.799999999999997</v>
      </c>
      <c r="H238">
        <v>55.38</v>
      </c>
      <c r="I238" s="1366">
        <v>36.82</v>
      </c>
      <c r="J238">
        <v>55.8</v>
      </c>
      <c r="K238">
        <v>40.853815205758671</v>
      </c>
      <c r="L238">
        <v>73.751603357346596</v>
      </c>
      <c r="M238">
        <v>75.43063187695472</v>
      </c>
      <c r="N238" s="13">
        <f t="shared" si="51"/>
        <v>57.15</v>
      </c>
    </row>
    <row r="239" spans="1:14" x14ac:dyDescent="0.25">
      <c r="A239" s="1365">
        <v>0.26</v>
      </c>
      <c r="B239">
        <v>50.6</v>
      </c>
      <c r="C239" s="1375">
        <f t="shared" si="50"/>
        <v>34.799999999999997</v>
      </c>
      <c r="D239" s="1375">
        <v>57.82</v>
      </c>
      <c r="E239" s="1375">
        <v>34.799999999999997</v>
      </c>
      <c r="F239">
        <v>57.82</v>
      </c>
      <c r="G239">
        <v>34.799999999999997</v>
      </c>
      <c r="H239">
        <v>55.83</v>
      </c>
      <c r="I239" s="1366">
        <v>37.200000000000003</v>
      </c>
      <c r="J239">
        <v>57.5</v>
      </c>
      <c r="K239">
        <v>41.462009531838177</v>
      </c>
      <c r="L239">
        <v>75.43063187695472</v>
      </c>
      <c r="M239">
        <v>75.742859240119785</v>
      </c>
      <c r="N239" s="13">
        <f t="shared" si="51"/>
        <v>57.82</v>
      </c>
    </row>
    <row r="240" spans="1:14" x14ac:dyDescent="0.25">
      <c r="A240" s="1365">
        <v>0.27</v>
      </c>
      <c r="B240">
        <v>50.6</v>
      </c>
      <c r="C240" s="1375">
        <f t="shared" si="50"/>
        <v>35.299999999999997</v>
      </c>
      <c r="D240" s="1375">
        <v>58.72</v>
      </c>
      <c r="E240" s="1375">
        <v>35.299999999999997</v>
      </c>
      <c r="F240">
        <v>58.72</v>
      </c>
      <c r="G240">
        <v>35.299999999999997</v>
      </c>
      <c r="H240">
        <v>56.27</v>
      </c>
      <c r="I240" s="1366">
        <v>37.56</v>
      </c>
      <c r="J240">
        <v>57.5</v>
      </c>
      <c r="K240">
        <v>41.942001778480382</v>
      </c>
      <c r="L240">
        <v>75.742859240119785</v>
      </c>
      <c r="M240">
        <v>75.916901214886479</v>
      </c>
      <c r="N240" s="13">
        <f t="shared" si="51"/>
        <v>58.72</v>
      </c>
    </row>
    <row r="241" spans="1:14" x14ac:dyDescent="0.25">
      <c r="A241" s="1365">
        <v>0.28000000000000003</v>
      </c>
      <c r="B241">
        <v>52</v>
      </c>
      <c r="C241" s="1375">
        <f t="shared" si="50"/>
        <v>35.799999999999997</v>
      </c>
      <c r="D241" s="1375">
        <v>59.56</v>
      </c>
      <c r="E241" s="1375">
        <v>35.799999999999997</v>
      </c>
      <c r="F241">
        <v>59.56</v>
      </c>
      <c r="G241">
        <v>35.799999999999997</v>
      </c>
      <c r="H241">
        <v>56.72</v>
      </c>
      <c r="I241" s="1366">
        <v>37.840000000000003</v>
      </c>
      <c r="J241">
        <v>58.8</v>
      </c>
      <c r="K241">
        <v>42.763830168151706</v>
      </c>
      <c r="L241">
        <v>75.916901214886479</v>
      </c>
      <c r="M241">
        <v>77.124003201951652</v>
      </c>
      <c r="N241" s="13">
        <f t="shared" si="51"/>
        <v>59.56</v>
      </c>
    </row>
    <row r="242" spans="1:14" x14ac:dyDescent="0.25">
      <c r="A242" s="1365">
        <v>0.28999999999999998</v>
      </c>
      <c r="B242">
        <v>52</v>
      </c>
      <c r="C242" s="1375">
        <f t="shared" si="50"/>
        <v>35.9</v>
      </c>
      <c r="D242" s="1375">
        <v>60.39</v>
      </c>
      <c r="E242" s="1375">
        <v>35.9</v>
      </c>
      <c r="F242">
        <v>60.39</v>
      </c>
      <c r="G242">
        <v>35.9</v>
      </c>
      <c r="H242">
        <v>57.36</v>
      </c>
      <c r="I242" s="1366">
        <v>38.15</v>
      </c>
      <c r="J242">
        <v>58.8</v>
      </c>
      <c r="K242">
        <v>43.155322782108236</v>
      </c>
      <c r="L242">
        <v>77.124003201951652</v>
      </c>
      <c r="M242">
        <v>77.646568620291788</v>
      </c>
      <c r="N242" s="13">
        <f t="shared" si="51"/>
        <v>60.39</v>
      </c>
    </row>
    <row r="243" spans="1:14" x14ac:dyDescent="0.25">
      <c r="A243" s="1365">
        <v>0.3</v>
      </c>
      <c r="B243">
        <v>53.6</v>
      </c>
      <c r="C243" s="1375">
        <f t="shared" si="50"/>
        <v>36</v>
      </c>
      <c r="D243" s="1375">
        <v>61.46</v>
      </c>
      <c r="E243" s="1375">
        <v>36</v>
      </c>
      <c r="F243">
        <v>61.46</v>
      </c>
      <c r="G243">
        <v>36</v>
      </c>
      <c r="H243">
        <v>58</v>
      </c>
      <c r="I243" s="1366">
        <v>38.36</v>
      </c>
      <c r="J243">
        <v>60.2</v>
      </c>
      <c r="K243">
        <v>43.948756280885348</v>
      </c>
      <c r="L243">
        <v>77.646568620291788</v>
      </c>
      <c r="M243">
        <v>78.602232069588055</v>
      </c>
      <c r="N243" s="13">
        <f t="shared" si="51"/>
        <v>61.46</v>
      </c>
    </row>
    <row r="244" spans="1:14" x14ac:dyDescent="0.25">
      <c r="A244" s="1365">
        <v>0.31</v>
      </c>
      <c r="B244">
        <v>53.6</v>
      </c>
      <c r="C244" s="1375">
        <f t="shared" si="50"/>
        <v>36.4</v>
      </c>
      <c r="D244" s="1375">
        <v>62</v>
      </c>
      <c r="E244" s="1375">
        <v>36.4</v>
      </c>
      <c r="F244">
        <v>62</v>
      </c>
      <c r="G244">
        <v>36.4</v>
      </c>
      <c r="H244">
        <v>58.57</v>
      </c>
      <c r="I244" s="1366">
        <v>38.880000000000003</v>
      </c>
      <c r="J244">
        <v>60.2</v>
      </c>
      <c r="K244">
        <v>44.912760938580782</v>
      </c>
      <c r="L244">
        <v>78.602232069588055</v>
      </c>
      <c r="M244">
        <v>80.194226235124447</v>
      </c>
      <c r="N244" s="13">
        <f t="shared" si="51"/>
        <v>62</v>
      </c>
    </row>
    <row r="245" spans="1:14" x14ac:dyDescent="0.25">
      <c r="A245" s="1365">
        <v>0.32</v>
      </c>
      <c r="B245">
        <v>55.4</v>
      </c>
      <c r="C245" s="1375">
        <f t="shared" si="50"/>
        <v>36.799999999999997</v>
      </c>
      <c r="D245" s="1375">
        <v>62.74</v>
      </c>
      <c r="E245" s="1375">
        <v>36.799999999999997</v>
      </c>
      <c r="F245">
        <v>62.74</v>
      </c>
      <c r="G245">
        <v>36.799999999999997</v>
      </c>
      <c r="H245">
        <v>59.36</v>
      </c>
      <c r="I245" s="1366">
        <v>39.36</v>
      </c>
      <c r="J245">
        <v>62.2</v>
      </c>
      <c r="K245">
        <v>45.70347089909049</v>
      </c>
      <c r="L245">
        <v>80.194226235124447</v>
      </c>
      <c r="M245">
        <v>80.820751845676895</v>
      </c>
      <c r="N245" s="13">
        <f t="shared" si="51"/>
        <v>62.74</v>
      </c>
    </row>
    <row r="246" spans="1:14" x14ac:dyDescent="0.25">
      <c r="A246" s="1365">
        <v>0.33</v>
      </c>
      <c r="B246">
        <v>55.4</v>
      </c>
      <c r="C246" s="1375">
        <f t="shared" si="50"/>
        <v>37.4</v>
      </c>
      <c r="D246" s="1375">
        <v>63.41</v>
      </c>
      <c r="E246" s="1375">
        <v>37.4</v>
      </c>
      <c r="F246">
        <v>63.41</v>
      </c>
      <c r="G246">
        <v>37.4</v>
      </c>
      <c r="H246">
        <v>59.91</v>
      </c>
      <c r="I246" s="1366">
        <v>39.630000000000003</v>
      </c>
      <c r="J246">
        <v>62.2</v>
      </c>
      <c r="K246">
        <v>46.271712760795729</v>
      </c>
      <c r="L246">
        <v>80.820751845676895</v>
      </c>
      <c r="M246">
        <v>81.47643507413386</v>
      </c>
      <c r="N246" s="13">
        <f t="shared" si="51"/>
        <v>63.41</v>
      </c>
    </row>
    <row r="247" spans="1:14" x14ac:dyDescent="0.25">
      <c r="A247" s="1365">
        <v>0.34</v>
      </c>
      <c r="B247">
        <v>57.1</v>
      </c>
      <c r="C247" s="1375">
        <f t="shared" si="50"/>
        <v>37.5</v>
      </c>
      <c r="D247" s="1375">
        <v>64.209999999999994</v>
      </c>
      <c r="E247" s="1375">
        <v>37.5</v>
      </c>
      <c r="F247">
        <v>64.209999999999994</v>
      </c>
      <c r="G247">
        <v>37.5</v>
      </c>
      <c r="H247">
        <v>60.21</v>
      </c>
      <c r="I247" s="1366">
        <v>40.21</v>
      </c>
      <c r="J247">
        <v>63.5</v>
      </c>
      <c r="K247">
        <v>46.577453592814365</v>
      </c>
      <c r="L247">
        <v>81.652220026165168</v>
      </c>
      <c r="M247">
        <v>81.928578164536404</v>
      </c>
      <c r="N247" s="13">
        <f t="shared" si="51"/>
        <v>64.209999999999994</v>
      </c>
    </row>
    <row r="248" spans="1:14" x14ac:dyDescent="0.25">
      <c r="A248" s="1365">
        <v>0.35</v>
      </c>
      <c r="B248">
        <v>57.1</v>
      </c>
      <c r="C248" s="1375">
        <f t="shared" si="50"/>
        <v>38.6</v>
      </c>
      <c r="D248" s="1375">
        <v>64.930000000000007</v>
      </c>
      <c r="E248" s="1375">
        <v>38.6</v>
      </c>
      <c r="F248">
        <v>64.930000000000007</v>
      </c>
      <c r="G248">
        <v>38.6</v>
      </c>
      <c r="H248">
        <v>60.53</v>
      </c>
      <c r="I248" s="1366">
        <v>40.44</v>
      </c>
      <c r="J248">
        <v>63.5</v>
      </c>
      <c r="K248">
        <v>46.825801150369763</v>
      </c>
      <c r="L248">
        <v>81.928578164536404</v>
      </c>
      <c r="M248">
        <v>83.334184914841842</v>
      </c>
      <c r="N248" s="13">
        <f t="shared" si="51"/>
        <v>64.930000000000007</v>
      </c>
    </row>
    <row r="249" spans="1:14" x14ac:dyDescent="0.25">
      <c r="A249" s="1365">
        <v>0.36</v>
      </c>
      <c r="B249">
        <v>59.1</v>
      </c>
      <c r="C249" s="1375">
        <f t="shared" si="50"/>
        <v>41.2</v>
      </c>
      <c r="D249" s="1375">
        <v>65.72</v>
      </c>
      <c r="E249" s="1375">
        <v>41.2</v>
      </c>
      <c r="F249">
        <v>65.72</v>
      </c>
      <c r="G249">
        <v>41.2</v>
      </c>
      <c r="H249">
        <v>60.95</v>
      </c>
      <c r="I249" s="1366">
        <v>40.68</v>
      </c>
      <c r="J249">
        <v>65.5</v>
      </c>
      <c r="K249">
        <v>47.831567271054091</v>
      </c>
      <c r="L249">
        <v>83.334184914841842</v>
      </c>
      <c r="M249">
        <v>83.606197511397511</v>
      </c>
      <c r="N249" s="13">
        <f t="shared" si="51"/>
        <v>65.72</v>
      </c>
    </row>
    <row r="250" spans="1:14" x14ac:dyDescent="0.25">
      <c r="A250" s="1365">
        <v>0.37</v>
      </c>
      <c r="B250">
        <v>59.1</v>
      </c>
      <c r="C250" s="1375">
        <f t="shared" si="50"/>
        <v>41.5</v>
      </c>
      <c r="D250" s="1375">
        <v>66.61</v>
      </c>
      <c r="E250" s="1375">
        <v>41.5</v>
      </c>
      <c r="F250">
        <v>66.61</v>
      </c>
      <c r="G250">
        <v>41.5</v>
      </c>
      <c r="H250">
        <v>61.49</v>
      </c>
      <c r="I250" s="1366">
        <v>41.03</v>
      </c>
      <c r="J250">
        <v>65.5</v>
      </c>
      <c r="K250">
        <v>48.303738036477462</v>
      </c>
      <c r="L250">
        <v>83.606197511397511</v>
      </c>
      <c r="M250">
        <v>83.929475340310546</v>
      </c>
      <c r="N250" s="13">
        <f t="shared" si="51"/>
        <v>66.61</v>
      </c>
    </row>
    <row r="251" spans="1:14" x14ac:dyDescent="0.25">
      <c r="A251" s="1365">
        <v>0.38</v>
      </c>
      <c r="B251">
        <v>60.7</v>
      </c>
      <c r="C251" s="1375">
        <f t="shared" si="50"/>
        <v>42.8</v>
      </c>
      <c r="D251" s="1375">
        <v>67.7</v>
      </c>
      <c r="E251" s="1375">
        <v>42.8</v>
      </c>
      <c r="F251">
        <v>67.7</v>
      </c>
      <c r="G251">
        <v>42.8</v>
      </c>
      <c r="H251">
        <v>62.08</v>
      </c>
      <c r="I251" s="1366">
        <v>41.48</v>
      </c>
      <c r="J251">
        <v>67.2</v>
      </c>
      <c r="K251">
        <v>48.987777096576423</v>
      </c>
      <c r="L251">
        <v>83.929475340310546</v>
      </c>
      <c r="M251">
        <v>85.189002221183074</v>
      </c>
      <c r="N251" s="13">
        <f t="shared" si="51"/>
        <v>67.7</v>
      </c>
    </row>
    <row r="252" spans="1:14" x14ac:dyDescent="0.25">
      <c r="A252" s="1365">
        <v>0.39</v>
      </c>
      <c r="B252">
        <v>60.7</v>
      </c>
      <c r="C252" s="1375">
        <f t="shared" si="50"/>
        <v>44</v>
      </c>
      <c r="D252" s="1375">
        <v>68.63</v>
      </c>
      <c r="E252" s="1375">
        <v>44</v>
      </c>
      <c r="F252">
        <v>68.63</v>
      </c>
      <c r="G252">
        <v>44</v>
      </c>
      <c r="H252">
        <v>62.42</v>
      </c>
      <c r="I252" s="1366">
        <v>41.72</v>
      </c>
      <c r="J252">
        <v>67.2</v>
      </c>
      <c r="K252">
        <v>49.52472743930371</v>
      </c>
      <c r="L252">
        <v>85.189002221183074</v>
      </c>
      <c r="M252">
        <v>85.755096645110569</v>
      </c>
      <c r="N252" s="13">
        <f t="shared" si="51"/>
        <v>68.63</v>
      </c>
    </row>
    <row r="253" spans="1:14" x14ac:dyDescent="0.25">
      <c r="A253" s="1365">
        <v>0.4</v>
      </c>
      <c r="B253">
        <v>62</v>
      </c>
      <c r="C253" s="1375">
        <f t="shared" si="50"/>
        <v>44.4</v>
      </c>
      <c r="D253" s="1375">
        <v>69.569999999999993</v>
      </c>
      <c r="E253" s="1375">
        <v>44.4</v>
      </c>
      <c r="F253">
        <v>69.569999999999993</v>
      </c>
      <c r="G253">
        <v>44.4</v>
      </c>
      <c r="H253">
        <v>62.83</v>
      </c>
      <c r="I253" s="1366">
        <v>42.31</v>
      </c>
      <c r="J253">
        <v>68.900000000000006</v>
      </c>
      <c r="K253">
        <v>49.844309440559442</v>
      </c>
      <c r="L253">
        <v>85.477281776836108</v>
      </c>
      <c r="M253">
        <v>86.437983289995302</v>
      </c>
      <c r="N253" s="13">
        <f t="shared" si="51"/>
        <v>69.569999999999993</v>
      </c>
    </row>
    <row r="254" spans="1:14" x14ac:dyDescent="0.25">
      <c r="A254" s="1365">
        <v>0.41</v>
      </c>
      <c r="B254">
        <v>62</v>
      </c>
      <c r="C254" s="1375">
        <f t="shared" si="50"/>
        <v>44.7</v>
      </c>
      <c r="D254" s="1375">
        <v>70.239999999999995</v>
      </c>
      <c r="E254" s="1375">
        <v>44.7</v>
      </c>
      <c r="F254">
        <v>70.239999999999995</v>
      </c>
      <c r="G254">
        <v>44.7</v>
      </c>
      <c r="H254">
        <v>63.43</v>
      </c>
      <c r="I254" s="1366">
        <v>42.9</v>
      </c>
      <c r="J254">
        <v>68.900000000000006</v>
      </c>
      <c r="K254">
        <v>50.710849285615204</v>
      </c>
      <c r="L254">
        <v>86.256882341150515</v>
      </c>
      <c r="M254">
        <v>86.901048273395361</v>
      </c>
      <c r="N254" s="13">
        <f t="shared" si="51"/>
        <v>70.239999999999995</v>
      </c>
    </row>
    <row r="255" spans="1:14" x14ac:dyDescent="0.25">
      <c r="A255" s="1365">
        <v>0.42</v>
      </c>
      <c r="B255">
        <v>63</v>
      </c>
      <c r="C255" s="1375">
        <f t="shared" si="50"/>
        <v>44.8</v>
      </c>
      <c r="D255" s="1375">
        <v>70.819999999999993</v>
      </c>
      <c r="E255" s="1375">
        <v>44.8</v>
      </c>
      <c r="F255">
        <v>70.819999999999993</v>
      </c>
      <c r="G255">
        <v>44.8</v>
      </c>
      <c r="H255">
        <v>64.56</v>
      </c>
      <c r="I255" s="1366">
        <v>43.47</v>
      </c>
      <c r="J255">
        <v>70.3</v>
      </c>
      <c r="K255">
        <v>51.611718881170525</v>
      </c>
      <c r="L255">
        <v>86.658769307915293</v>
      </c>
      <c r="M255">
        <v>87.729716166186748</v>
      </c>
      <c r="N255" s="13">
        <f t="shared" si="51"/>
        <v>70.819999999999993</v>
      </c>
    </row>
    <row r="256" spans="1:14" x14ac:dyDescent="0.25">
      <c r="A256" s="1365">
        <v>0.43</v>
      </c>
      <c r="B256">
        <v>63</v>
      </c>
      <c r="C256" s="1375">
        <f t="shared" si="50"/>
        <v>45.6</v>
      </c>
      <c r="D256" s="1375">
        <v>71.33</v>
      </c>
      <c r="E256" s="1375">
        <v>45.6</v>
      </c>
      <c r="F256">
        <v>71.33</v>
      </c>
      <c r="G256">
        <v>45.6</v>
      </c>
      <c r="H256">
        <v>65.150000000000006</v>
      </c>
      <c r="I256" s="1366">
        <v>43.86</v>
      </c>
      <c r="J256">
        <v>70.3</v>
      </c>
      <c r="K256">
        <v>52.082072602090996</v>
      </c>
      <c r="L256">
        <v>87.6876954802608</v>
      </c>
      <c r="M256">
        <v>87.92171025767766</v>
      </c>
      <c r="N256" s="13">
        <f t="shared" si="51"/>
        <v>71.33</v>
      </c>
    </row>
    <row r="257" spans="1:14" x14ac:dyDescent="0.25">
      <c r="A257" s="1365">
        <v>0.44</v>
      </c>
      <c r="B257">
        <v>63.9</v>
      </c>
      <c r="C257" s="1375">
        <f t="shared" si="50"/>
        <v>45.9</v>
      </c>
      <c r="D257" s="1375">
        <v>72.319999999999993</v>
      </c>
      <c r="E257" s="1375">
        <v>45.9</v>
      </c>
      <c r="F257">
        <v>72.319999999999993</v>
      </c>
      <c r="G257">
        <v>45.9</v>
      </c>
      <c r="H257">
        <v>65.58</v>
      </c>
      <c r="I257" s="1366">
        <v>44.67</v>
      </c>
      <c r="J257">
        <v>71.400000000000006</v>
      </c>
      <c r="K257">
        <v>53.256807425164418</v>
      </c>
      <c r="L257">
        <v>87.748098383056245</v>
      </c>
      <c r="M257">
        <v>89.128095199448111</v>
      </c>
      <c r="N257" s="13">
        <f t="shared" si="51"/>
        <v>72.319999999999993</v>
      </c>
    </row>
    <row r="258" spans="1:14" x14ac:dyDescent="0.25">
      <c r="A258" s="1365">
        <v>0.45</v>
      </c>
      <c r="B258">
        <v>63.9</v>
      </c>
      <c r="C258" s="1375">
        <f t="shared" si="50"/>
        <v>47.1</v>
      </c>
      <c r="D258" s="1375">
        <v>72.989999999999995</v>
      </c>
      <c r="E258" s="1375">
        <v>47.1</v>
      </c>
      <c r="F258">
        <v>72.989999999999995</v>
      </c>
      <c r="G258">
        <v>47.1</v>
      </c>
      <c r="H258">
        <v>66.099999999999994</v>
      </c>
      <c r="I258" s="1366">
        <v>45.18</v>
      </c>
      <c r="J258">
        <v>71.400000000000006</v>
      </c>
      <c r="K258">
        <v>53.967517401392115</v>
      </c>
      <c r="L258">
        <v>88.833264730758401</v>
      </c>
      <c r="M258">
        <v>89.432722040886446</v>
      </c>
      <c r="N258" s="13">
        <f t="shared" si="51"/>
        <v>72.989999999999995</v>
      </c>
    </row>
    <row r="259" spans="1:14" x14ac:dyDescent="0.25">
      <c r="A259" s="1365">
        <v>0.46</v>
      </c>
      <c r="B259">
        <v>65.900000000000006</v>
      </c>
      <c r="C259" s="1375">
        <f t="shared" si="50"/>
        <v>47.9</v>
      </c>
      <c r="D259" s="1375">
        <v>73.47</v>
      </c>
      <c r="E259" s="1375">
        <v>47.9</v>
      </c>
      <c r="F259">
        <v>73.47</v>
      </c>
      <c r="G259">
        <v>47.9</v>
      </c>
      <c r="H259">
        <v>66.56</v>
      </c>
      <c r="I259" s="1366">
        <v>45.52</v>
      </c>
      <c r="J259">
        <v>72.8</v>
      </c>
      <c r="K259">
        <v>54.585664553027478</v>
      </c>
      <c r="L259">
        <v>89.317758446931506</v>
      </c>
      <c r="M259">
        <v>89.636554502438585</v>
      </c>
      <c r="N259" s="13">
        <f t="shared" si="51"/>
        <v>73.47</v>
      </c>
    </row>
    <row r="260" spans="1:14" x14ac:dyDescent="0.25">
      <c r="A260" s="1365">
        <v>0.47</v>
      </c>
      <c r="B260">
        <v>65.900000000000006</v>
      </c>
      <c r="C260" s="1375">
        <f t="shared" si="50"/>
        <v>48.8</v>
      </c>
      <c r="D260" s="1375">
        <v>74.53</v>
      </c>
      <c r="E260" s="1375">
        <v>48.8</v>
      </c>
      <c r="F260">
        <v>74.53</v>
      </c>
      <c r="G260">
        <v>48.8</v>
      </c>
      <c r="H260">
        <v>67.069999999999993</v>
      </c>
      <c r="I260" s="1366">
        <v>46.04</v>
      </c>
      <c r="J260">
        <v>72.8</v>
      </c>
      <c r="K260">
        <v>54.872543810877033</v>
      </c>
      <c r="L260">
        <v>89.628136550099512</v>
      </c>
      <c r="M260">
        <v>90.198936435396746</v>
      </c>
      <c r="N260" s="13">
        <f t="shared" si="51"/>
        <v>74.53</v>
      </c>
    </row>
    <row r="261" spans="1:14" x14ac:dyDescent="0.25">
      <c r="A261" s="1365">
        <v>0.48</v>
      </c>
      <c r="B261">
        <v>67.599999999999994</v>
      </c>
      <c r="C261" s="1375">
        <f t="shared" si="50"/>
        <v>49.5</v>
      </c>
      <c r="D261" s="1375">
        <v>75.37</v>
      </c>
      <c r="E261" s="1375">
        <v>49.5</v>
      </c>
      <c r="F261">
        <v>75.37</v>
      </c>
      <c r="G261">
        <v>49.5</v>
      </c>
      <c r="H261">
        <v>67.8</v>
      </c>
      <c r="I261" s="1366">
        <v>46.81</v>
      </c>
      <c r="J261">
        <v>74.3</v>
      </c>
      <c r="K261">
        <v>55.038358286557099</v>
      </c>
      <c r="L261">
        <v>89.804288580895033</v>
      </c>
      <c r="M261">
        <v>90.750477778464756</v>
      </c>
      <c r="N261" s="13">
        <f t="shared" si="51"/>
        <v>75.37</v>
      </c>
    </row>
    <row r="262" spans="1:14" x14ac:dyDescent="0.25">
      <c r="A262" s="1365">
        <v>0.49</v>
      </c>
      <c r="B262">
        <v>67.599999999999994</v>
      </c>
      <c r="C262" s="1375">
        <f t="shared" si="50"/>
        <v>49.7</v>
      </c>
      <c r="D262" s="1375">
        <v>76.069999999999993</v>
      </c>
      <c r="E262" s="1375">
        <v>49.7</v>
      </c>
      <c r="F262">
        <v>76.069999999999993</v>
      </c>
      <c r="G262">
        <v>49.7</v>
      </c>
      <c r="H262">
        <v>68.41</v>
      </c>
      <c r="I262" s="1366">
        <v>47.55</v>
      </c>
      <c r="J262">
        <v>74.3</v>
      </c>
      <c r="K262">
        <v>55.399357483106243</v>
      </c>
      <c r="L262">
        <v>90.409449431591725</v>
      </c>
      <c r="M262">
        <v>91.677121037094068</v>
      </c>
      <c r="N262" s="13">
        <f t="shared" si="51"/>
        <v>76.069999999999993</v>
      </c>
    </row>
    <row r="263" spans="1:14" x14ac:dyDescent="0.25">
      <c r="A263" s="1365">
        <v>0.5</v>
      </c>
      <c r="B263">
        <v>69.3</v>
      </c>
      <c r="C263" s="1375">
        <f t="shared" si="50"/>
        <v>49.8</v>
      </c>
      <c r="D263" s="1375">
        <v>76.81</v>
      </c>
      <c r="E263" s="1375">
        <v>49.8</v>
      </c>
      <c r="F263">
        <v>76.81</v>
      </c>
      <c r="G263">
        <v>49.8</v>
      </c>
      <c r="H263">
        <v>69.150000000000006</v>
      </c>
      <c r="I263" s="1366">
        <v>48.07</v>
      </c>
      <c r="J263">
        <v>75.2</v>
      </c>
      <c r="K263">
        <v>56.492116649872564</v>
      </c>
      <c r="L263">
        <v>91.445817593092286</v>
      </c>
      <c r="M263">
        <v>92.574834266352397</v>
      </c>
      <c r="N263" s="13">
        <f t="shared" si="51"/>
        <v>76.81</v>
      </c>
    </row>
    <row r="264" spans="1:14" x14ac:dyDescent="0.25">
      <c r="A264" s="1365">
        <v>0.51</v>
      </c>
      <c r="B264">
        <v>69.3</v>
      </c>
      <c r="C264" s="1375">
        <f t="shared" si="50"/>
        <v>49.9</v>
      </c>
      <c r="D264" s="1375">
        <v>77.44</v>
      </c>
      <c r="E264" s="1375">
        <v>49.9</v>
      </c>
      <c r="F264">
        <v>77.44</v>
      </c>
      <c r="G264">
        <v>49.9</v>
      </c>
      <c r="H264">
        <v>69.569999999999993</v>
      </c>
      <c r="I264" s="1366">
        <v>48.54</v>
      </c>
      <c r="J264">
        <v>75.2</v>
      </c>
      <c r="K264">
        <v>57.526099917911196</v>
      </c>
      <c r="L264">
        <v>91.679637848077633</v>
      </c>
      <c r="M264">
        <v>93.479349518720724</v>
      </c>
      <c r="N264" s="13">
        <f t="shared" si="51"/>
        <v>77.44</v>
      </c>
    </row>
    <row r="265" spans="1:14" x14ac:dyDescent="0.25">
      <c r="A265" s="1365">
        <v>0.52</v>
      </c>
      <c r="B265">
        <v>71.3</v>
      </c>
      <c r="C265" s="1375">
        <f t="shared" si="50"/>
        <v>49.9</v>
      </c>
      <c r="D265" s="1375">
        <v>77.94</v>
      </c>
      <c r="E265" s="1375">
        <v>49.9</v>
      </c>
      <c r="F265">
        <v>77.94</v>
      </c>
      <c r="G265">
        <v>49.9</v>
      </c>
      <c r="H265">
        <v>70.010000000000005</v>
      </c>
      <c r="I265" s="1366">
        <v>49.56</v>
      </c>
      <c r="J265">
        <v>76.400000000000006</v>
      </c>
      <c r="K265">
        <v>58.559664403740236</v>
      </c>
      <c r="L265">
        <v>92.599980258039025</v>
      </c>
      <c r="M265">
        <v>93.862924000355306</v>
      </c>
      <c r="N265" s="13">
        <f t="shared" si="51"/>
        <v>77.94</v>
      </c>
    </row>
    <row r="266" spans="1:14" x14ac:dyDescent="0.25">
      <c r="A266" s="1365">
        <v>0.53</v>
      </c>
      <c r="B266">
        <v>71.3</v>
      </c>
      <c r="C266" s="1375">
        <f t="shared" si="50"/>
        <v>50.05</v>
      </c>
      <c r="D266" s="1375">
        <v>79.3</v>
      </c>
      <c r="E266" s="1375">
        <v>50.05</v>
      </c>
      <c r="F266">
        <v>79.3</v>
      </c>
      <c r="G266">
        <v>50.05</v>
      </c>
      <c r="H266">
        <v>70.58</v>
      </c>
      <c r="I266" s="1366">
        <v>50.41</v>
      </c>
      <c r="J266">
        <v>76.400000000000006</v>
      </c>
      <c r="K266">
        <v>58.824078721865284</v>
      </c>
      <c r="L266">
        <v>93.624257933543745</v>
      </c>
      <c r="M266">
        <v>95.077194211100718</v>
      </c>
      <c r="N266" s="13">
        <f t="shared" si="51"/>
        <v>79.3</v>
      </c>
    </row>
    <row r="267" spans="1:14" x14ac:dyDescent="0.25">
      <c r="A267" s="1365">
        <v>0.54</v>
      </c>
      <c r="B267">
        <v>72.3</v>
      </c>
      <c r="C267" s="1375">
        <f t="shared" si="50"/>
        <v>50.5</v>
      </c>
      <c r="D267" s="1375">
        <v>79.900000000000006</v>
      </c>
      <c r="E267" s="1375">
        <v>50.5</v>
      </c>
      <c r="F267">
        <v>79.900000000000006</v>
      </c>
      <c r="G267">
        <v>50.5</v>
      </c>
      <c r="H267">
        <v>71.260000000000005</v>
      </c>
      <c r="I267" s="1366">
        <v>51</v>
      </c>
      <c r="J267">
        <v>78.5</v>
      </c>
      <c r="K267">
        <v>60.081948057391614</v>
      </c>
      <c r="L267">
        <v>94.659097736147899</v>
      </c>
      <c r="M267">
        <v>95.403428551062945</v>
      </c>
      <c r="N267" s="13">
        <f t="shared" si="51"/>
        <v>79.900000000000006</v>
      </c>
    </row>
    <row r="268" spans="1:14" x14ac:dyDescent="0.25">
      <c r="A268" s="1365">
        <v>0.55000000000000004</v>
      </c>
      <c r="B268">
        <v>72.3</v>
      </c>
      <c r="C268" s="1375">
        <f t="shared" si="50"/>
        <v>51.2</v>
      </c>
      <c r="D268" s="1375">
        <v>80.290000000000006</v>
      </c>
      <c r="E268" s="1375">
        <v>51.2</v>
      </c>
      <c r="F268">
        <v>80.290000000000006</v>
      </c>
      <c r="G268">
        <v>51.2</v>
      </c>
      <c r="H268">
        <v>71.760000000000005</v>
      </c>
      <c r="I268" s="1366">
        <v>51.63</v>
      </c>
      <c r="J268">
        <v>78.5</v>
      </c>
      <c r="K268">
        <v>61.580724959794715</v>
      </c>
      <c r="L268">
        <v>95.308592188220828</v>
      </c>
      <c r="M268">
        <v>95.772316524523205</v>
      </c>
      <c r="N268" s="13">
        <f t="shared" si="51"/>
        <v>80.290000000000006</v>
      </c>
    </row>
    <row r="269" spans="1:14" x14ac:dyDescent="0.25">
      <c r="A269" s="1365">
        <v>0.56000000000000005</v>
      </c>
      <c r="B269">
        <v>73.2</v>
      </c>
      <c r="C269" s="1375">
        <f t="shared" si="50"/>
        <v>52.3</v>
      </c>
      <c r="D269" s="1375">
        <v>81.44</v>
      </c>
      <c r="E269" s="1375">
        <v>52.3</v>
      </c>
      <c r="F269">
        <v>81.44</v>
      </c>
      <c r="G269">
        <v>52.3</v>
      </c>
      <c r="H269">
        <v>72.260000000000005</v>
      </c>
      <c r="I269" s="1366">
        <v>52.6</v>
      </c>
      <c r="J269">
        <v>80.599999999999994</v>
      </c>
      <c r="K269">
        <v>62.583273676111475</v>
      </c>
      <c r="L269">
        <v>95.772316524523205</v>
      </c>
      <c r="M269">
        <v>96.012537989617741</v>
      </c>
      <c r="N269" s="13">
        <f t="shared" si="51"/>
        <v>81.44</v>
      </c>
    </row>
    <row r="270" spans="1:14" x14ac:dyDescent="0.25">
      <c r="A270" s="1365">
        <v>0.56999999999999995</v>
      </c>
      <c r="B270">
        <v>73.2</v>
      </c>
      <c r="C270" s="1375">
        <f t="shared" si="50"/>
        <v>52.3</v>
      </c>
      <c r="D270" s="1375">
        <v>82.31</v>
      </c>
      <c r="E270" s="1375">
        <v>52.3</v>
      </c>
      <c r="F270">
        <v>82.31</v>
      </c>
      <c r="G270">
        <v>52.3</v>
      </c>
      <c r="H270">
        <v>72.989999999999995</v>
      </c>
      <c r="I270" s="1366">
        <v>53.9</v>
      </c>
      <c r="J270">
        <v>80.599999999999994</v>
      </c>
      <c r="K270">
        <v>62.906719837857835</v>
      </c>
      <c r="L270">
        <v>96.012537989617741</v>
      </c>
      <c r="M270">
        <v>96.451044263396895</v>
      </c>
      <c r="N270" s="13">
        <f t="shared" si="51"/>
        <v>82.31</v>
      </c>
    </row>
    <row r="271" spans="1:14" x14ac:dyDescent="0.25">
      <c r="A271" s="1365">
        <v>0.57999999999999996</v>
      </c>
      <c r="B271">
        <v>74.599999999999994</v>
      </c>
      <c r="C271" s="1375">
        <f t="shared" si="50"/>
        <v>52.7</v>
      </c>
      <c r="D271" s="1375">
        <v>83.58</v>
      </c>
      <c r="E271" s="1375">
        <v>52.7</v>
      </c>
      <c r="F271">
        <v>83.58</v>
      </c>
      <c r="G271">
        <v>52.7</v>
      </c>
      <c r="H271">
        <v>73.62</v>
      </c>
      <c r="I271" s="1366">
        <v>54.78</v>
      </c>
      <c r="J271">
        <v>83</v>
      </c>
      <c r="K271">
        <v>63.833846235828574</v>
      </c>
      <c r="L271">
        <v>96.451044263396895</v>
      </c>
      <c r="M271">
        <v>97.41291555215895</v>
      </c>
      <c r="N271" s="13">
        <f t="shared" si="51"/>
        <v>83.58</v>
      </c>
    </row>
    <row r="272" spans="1:14" x14ac:dyDescent="0.25">
      <c r="A272" s="1365">
        <v>0.59</v>
      </c>
      <c r="B272">
        <v>74.599999999999994</v>
      </c>
      <c r="C272" s="1375">
        <f t="shared" si="50"/>
        <v>53.8</v>
      </c>
      <c r="D272" s="1375">
        <v>84.68</v>
      </c>
      <c r="E272" s="1375">
        <v>53.8</v>
      </c>
      <c r="F272">
        <v>84.68</v>
      </c>
      <c r="G272">
        <v>53.8</v>
      </c>
      <c r="H272">
        <v>74</v>
      </c>
      <c r="I272" s="1366">
        <v>55.08</v>
      </c>
      <c r="J272">
        <v>83</v>
      </c>
      <c r="K272">
        <v>64.193682944337752</v>
      </c>
      <c r="L272">
        <v>97.41291555215895</v>
      </c>
      <c r="M272">
        <v>98.507752953051266</v>
      </c>
      <c r="N272" s="13">
        <f t="shared" si="51"/>
        <v>84.68</v>
      </c>
    </row>
    <row r="273" spans="1:14" x14ac:dyDescent="0.25">
      <c r="A273" s="1365">
        <v>0.6</v>
      </c>
      <c r="B273">
        <v>75.900000000000006</v>
      </c>
      <c r="C273" s="1375">
        <f t="shared" si="50"/>
        <v>54.2</v>
      </c>
      <c r="D273" s="1375">
        <v>85.33</v>
      </c>
      <c r="E273" s="1375">
        <v>54.2</v>
      </c>
      <c r="F273">
        <v>85.33</v>
      </c>
      <c r="G273">
        <v>54.2</v>
      </c>
      <c r="H273">
        <v>74.8</v>
      </c>
      <c r="I273" s="1366">
        <v>55.63</v>
      </c>
      <c r="J273">
        <v>84.9</v>
      </c>
      <c r="K273">
        <v>65.059106005151136</v>
      </c>
      <c r="L273">
        <v>98.507752953051266</v>
      </c>
      <c r="M273">
        <v>98.614600513352613</v>
      </c>
      <c r="N273" s="13">
        <f t="shared" si="51"/>
        <v>85.33</v>
      </c>
    </row>
    <row r="274" spans="1:14" x14ac:dyDescent="0.25">
      <c r="A274" s="1365">
        <v>0.61</v>
      </c>
      <c r="B274">
        <v>75.900000000000006</v>
      </c>
      <c r="C274" s="1375">
        <f t="shared" si="50"/>
        <v>54.7</v>
      </c>
      <c r="D274" s="1375">
        <v>86.8</v>
      </c>
      <c r="E274" s="1375">
        <v>54.7</v>
      </c>
      <c r="F274">
        <v>86.8</v>
      </c>
      <c r="G274">
        <v>54.7</v>
      </c>
      <c r="H274">
        <v>75.87</v>
      </c>
      <c r="I274" s="1366">
        <v>56.46</v>
      </c>
      <c r="J274">
        <v>84.9</v>
      </c>
      <c r="K274">
        <v>65.543542261699258</v>
      </c>
      <c r="L274">
        <v>98.614600513352613</v>
      </c>
      <c r="M274">
        <v>99.542508140996347</v>
      </c>
      <c r="N274" s="13">
        <f t="shared" si="51"/>
        <v>86.8</v>
      </c>
    </row>
    <row r="275" spans="1:14" x14ac:dyDescent="0.25">
      <c r="A275" s="1365">
        <v>0.62</v>
      </c>
      <c r="B275">
        <v>78.3</v>
      </c>
      <c r="C275" s="1375">
        <f t="shared" si="50"/>
        <v>55.2</v>
      </c>
      <c r="D275" s="1375">
        <v>87.41</v>
      </c>
      <c r="E275" s="1375">
        <v>55.2</v>
      </c>
      <c r="F275">
        <v>87.41</v>
      </c>
      <c r="G275">
        <v>55.2</v>
      </c>
      <c r="H275">
        <v>76.319999999999993</v>
      </c>
      <c r="I275" s="1366">
        <v>57.63</v>
      </c>
      <c r="J275">
        <v>86.4</v>
      </c>
      <c r="K275">
        <v>66.399165139033059</v>
      </c>
      <c r="L275">
        <v>99.542508140996347</v>
      </c>
      <c r="M275">
        <v>99.640303454212841</v>
      </c>
      <c r="N275" s="13">
        <f t="shared" si="51"/>
        <v>87.41</v>
      </c>
    </row>
    <row r="276" spans="1:14" x14ac:dyDescent="0.25">
      <c r="A276" s="1365">
        <v>0.63</v>
      </c>
      <c r="B276">
        <v>78.3</v>
      </c>
      <c r="C276" s="1375">
        <f t="shared" si="50"/>
        <v>55.4</v>
      </c>
      <c r="D276" s="1375">
        <v>88.18</v>
      </c>
      <c r="E276" s="1375">
        <v>55.4</v>
      </c>
      <c r="F276">
        <v>88.18</v>
      </c>
      <c r="G276">
        <v>55.4</v>
      </c>
      <c r="H276">
        <v>77.14</v>
      </c>
      <c r="I276" s="1366">
        <v>58.09</v>
      </c>
      <c r="J276">
        <v>86.4</v>
      </c>
      <c r="K276">
        <v>66.971683928442104</v>
      </c>
      <c r="L276">
        <v>99.640303454212841</v>
      </c>
      <c r="M276">
        <v>99.828924465568093</v>
      </c>
      <c r="N276" s="13">
        <f t="shared" si="51"/>
        <v>88.18</v>
      </c>
    </row>
    <row r="277" spans="1:14" x14ac:dyDescent="0.25">
      <c r="A277" s="1365">
        <v>0.64</v>
      </c>
      <c r="B277">
        <v>79.900000000000006</v>
      </c>
      <c r="C277" s="1375">
        <f t="shared" si="50"/>
        <v>56</v>
      </c>
      <c r="D277" s="1375">
        <v>89.28</v>
      </c>
      <c r="E277" s="1375">
        <v>56</v>
      </c>
      <c r="F277">
        <v>89.28</v>
      </c>
      <c r="G277">
        <v>56</v>
      </c>
      <c r="H277">
        <v>77.87</v>
      </c>
      <c r="I277" s="1366">
        <v>58.58</v>
      </c>
      <c r="J277">
        <v>87.9</v>
      </c>
      <c r="K277">
        <v>67.459018690279379</v>
      </c>
      <c r="L277">
        <v>99.828924465568093</v>
      </c>
      <c r="M277">
        <v>100.06387991011478</v>
      </c>
      <c r="N277" s="13">
        <f t="shared" si="51"/>
        <v>89.28</v>
      </c>
    </row>
    <row r="278" spans="1:14" x14ac:dyDescent="0.25">
      <c r="A278" s="1365">
        <v>0.65</v>
      </c>
      <c r="B278">
        <v>79.900000000000006</v>
      </c>
      <c r="C278" s="1375">
        <f t="shared" ref="C278:C313" si="52">E278</f>
        <v>56</v>
      </c>
      <c r="D278" s="1375">
        <v>89.76</v>
      </c>
      <c r="E278" s="1375">
        <v>56</v>
      </c>
      <c r="F278">
        <v>89.76</v>
      </c>
      <c r="G278">
        <v>56</v>
      </c>
      <c r="H278">
        <v>79.08</v>
      </c>
      <c r="I278" s="1366">
        <v>59.69</v>
      </c>
      <c r="J278">
        <v>87.9</v>
      </c>
      <c r="K278">
        <v>67.865982578298983</v>
      </c>
      <c r="L278">
        <v>100.06387991011478</v>
      </c>
      <c r="M278">
        <v>100.47487710568379</v>
      </c>
      <c r="N278" s="13">
        <f t="shared" ref="N278:N313" si="53">$B$106*B278+$C$106*C278+$D$106*D278+$E$106*E278+$F$106*F278+$G$106*G278+$H$106*H278+$I$106*I278+$J$106*J278+$K$106*K278+$L$106*L278+$M$106*M278</f>
        <v>89.76</v>
      </c>
    </row>
    <row r="279" spans="1:14" x14ac:dyDescent="0.25">
      <c r="A279" s="1365">
        <v>0.66</v>
      </c>
      <c r="B279">
        <v>81.099999999999994</v>
      </c>
      <c r="C279" s="1375">
        <f t="shared" si="52"/>
        <v>56.3</v>
      </c>
      <c r="D279" s="1375">
        <v>90.28</v>
      </c>
      <c r="E279" s="1375">
        <v>56.3</v>
      </c>
      <c r="F279">
        <v>90.28</v>
      </c>
      <c r="G279">
        <v>56.3</v>
      </c>
      <c r="H279">
        <v>80.239999999999995</v>
      </c>
      <c r="I279" s="1366">
        <v>60.58</v>
      </c>
      <c r="J279">
        <v>89.6</v>
      </c>
      <c r="K279">
        <v>68.447798846750956</v>
      </c>
      <c r="L279">
        <v>100.47487710568379</v>
      </c>
      <c r="M279">
        <v>100.7955063527653</v>
      </c>
      <c r="N279" s="13">
        <f t="shared" si="53"/>
        <v>90.28</v>
      </c>
    </row>
    <row r="280" spans="1:14" x14ac:dyDescent="0.25">
      <c r="A280" s="1365">
        <v>0.67</v>
      </c>
      <c r="B280">
        <v>81.099999999999994</v>
      </c>
      <c r="C280" s="1375">
        <f t="shared" si="52"/>
        <v>57.45</v>
      </c>
      <c r="D280" s="1375">
        <v>90.82</v>
      </c>
      <c r="E280" s="1375">
        <v>57.45</v>
      </c>
      <c r="F280">
        <v>90.82</v>
      </c>
      <c r="G280">
        <v>57.45</v>
      </c>
      <c r="H280">
        <v>81.06</v>
      </c>
      <c r="I280" s="1366">
        <v>61.1</v>
      </c>
      <c r="J280">
        <v>89.6</v>
      </c>
      <c r="K280">
        <v>69.104643052004306</v>
      </c>
      <c r="L280">
        <v>102.44837696862514</v>
      </c>
      <c r="M280">
        <v>102.91336810517291</v>
      </c>
      <c r="N280" s="13">
        <f t="shared" si="53"/>
        <v>90.82</v>
      </c>
    </row>
    <row r="281" spans="1:14" x14ac:dyDescent="0.25">
      <c r="A281" s="1365">
        <v>0.68</v>
      </c>
      <c r="B281">
        <v>82.4</v>
      </c>
      <c r="C281" s="1375">
        <f t="shared" si="52"/>
        <v>58.2</v>
      </c>
      <c r="D281" s="1375">
        <v>91.79</v>
      </c>
      <c r="E281" s="1375">
        <v>58.2</v>
      </c>
      <c r="F281">
        <v>91.79</v>
      </c>
      <c r="G281">
        <v>58.2</v>
      </c>
      <c r="H281">
        <v>82.02</v>
      </c>
      <c r="I281" s="1366">
        <v>61.54</v>
      </c>
      <c r="J281">
        <v>91.3</v>
      </c>
      <c r="K281">
        <v>70.110246424683751</v>
      </c>
      <c r="L281">
        <v>102.91336810517291</v>
      </c>
      <c r="M281">
        <v>103.31981143954418</v>
      </c>
      <c r="N281" s="13">
        <f t="shared" si="53"/>
        <v>91.79</v>
      </c>
    </row>
    <row r="282" spans="1:14" x14ac:dyDescent="0.25">
      <c r="A282" s="1365">
        <v>0.69</v>
      </c>
      <c r="B282">
        <v>82.4</v>
      </c>
      <c r="C282" s="1375">
        <f t="shared" si="52"/>
        <v>58.4</v>
      </c>
      <c r="D282" s="1375">
        <v>92.34</v>
      </c>
      <c r="E282" s="1375">
        <v>58.4</v>
      </c>
      <c r="F282">
        <v>92.34</v>
      </c>
      <c r="G282">
        <v>58.4</v>
      </c>
      <c r="H282">
        <v>83.17</v>
      </c>
      <c r="I282" s="1366">
        <v>61.93</v>
      </c>
      <c r="J282">
        <v>91.3</v>
      </c>
      <c r="K282">
        <v>70.382211227616452</v>
      </c>
      <c r="L282">
        <v>103.31981143954418</v>
      </c>
      <c r="M282">
        <v>103.37731181826378</v>
      </c>
      <c r="N282" s="13">
        <f t="shared" si="53"/>
        <v>92.34</v>
      </c>
    </row>
    <row r="283" spans="1:14" x14ac:dyDescent="0.25">
      <c r="A283" s="1365">
        <v>0.7</v>
      </c>
      <c r="B283">
        <v>84.5</v>
      </c>
      <c r="C283" s="1375">
        <f t="shared" si="52"/>
        <v>58.8</v>
      </c>
      <c r="D283" s="1375">
        <v>93.47</v>
      </c>
      <c r="E283" s="1375">
        <v>58.8</v>
      </c>
      <c r="F283">
        <v>93.47</v>
      </c>
      <c r="G283">
        <v>58.8</v>
      </c>
      <c r="H283">
        <v>84.4</v>
      </c>
      <c r="I283" s="1366">
        <v>62.5</v>
      </c>
      <c r="J283">
        <v>92.7</v>
      </c>
      <c r="K283">
        <v>70.793464331482284</v>
      </c>
      <c r="L283">
        <v>103.37731181826378</v>
      </c>
      <c r="M283">
        <v>103.75114247241677</v>
      </c>
      <c r="N283" s="13">
        <f t="shared" si="53"/>
        <v>93.47</v>
      </c>
    </row>
    <row r="284" spans="1:14" x14ac:dyDescent="0.25">
      <c r="A284" s="1365">
        <v>0.71</v>
      </c>
      <c r="B284">
        <v>84.5</v>
      </c>
      <c r="C284" s="1375">
        <f t="shared" si="52"/>
        <v>59</v>
      </c>
      <c r="D284" s="1375">
        <v>94.31</v>
      </c>
      <c r="E284" s="1375">
        <v>59</v>
      </c>
      <c r="F284">
        <v>94.31</v>
      </c>
      <c r="G284">
        <v>59</v>
      </c>
      <c r="H284">
        <v>84.87</v>
      </c>
      <c r="I284" s="1366">
        <v>63.03</v>
      </c>
      <c r="J284">
        <v>92.7</v>
      </c>
      <c r="K284">
        <v>71.137118948805636</v>
      </c>
      <c r="L284">
        <v>103.75114247241677</v>
      </c>
      <c r="M284">
        <v>105.51207226664488</v>
      </c>
      <c r="N284" s="13">
        <f t="shared" si="53"/>
        <v>94.31</v>
      </c>
    </row>
    <row r="285" spans="1:14" x14ac:dyDescent="0.25">
      <c r="A285" s="1365">
        <v>0.72</v>
      </c>
      <c r="B285">
        <v>87</v>
      </c>
      <c r="C285" s="1375">
        <f t="shared" si="52"/>
        <v>59</v>
      </c>
      <c r="D285" s="1375">
        <v>95.45</v>
      </c>
      <c r="E285" s="1375">
        <v>59</v>
      </c>
      <c r="F285">
        <v>95.45</v>
      </c>
      <c r="G285">
        <v>59</v>
      </c>
      <c r="H285">
        <v>85.97</v>
      </c>
      <c r="I285" s="1366">
        <v>63.48</v>
      </c>
      <c r="J285">
        <v>94</v>
      </c>
      <c r="K285">
        <v>71.914845272359983</v>
      </c>
      <c r="L285">
        <v>105.32544797687862</v>
      </c>
      <c r="M285">
        <v>105.70844152800562</v>
      </c>
      <c r="N285" s="13">
        <f t="shared" si="53"/>
        <v>95.45</v>
      </c>
    </row>
    <row r="286" spans="1:14" x14ac:dyDescent="0.25">
      <c r="A286" s="1365">
        <v>0.73</v>
      </c>
      <c r="B286">
        <v>87</v>
      </c>
      <c r="C286" s="1375">
        <f t="shared" si="52"/>
        <v>59.7</v>
      </c>
      <c r="D286" s="1375">
        <v>96.45</v>
      </c>
      <c r="E286" s="1375">
        <v>59.7</v>
      </c>
      <c r="F286">
        <v>96.45</v>
      </c>
      <c r="G286">
        <v>59.7</v>
      </c>
      <c r="H286">
        <v>86.93</v>
      </c>
      <c r="I286" s="1366">
        <v>64.2</v>
      </c>
      <c r="J286">
        <v>94</v>
      </c>
      <c r="K286">
        <v>73.593136296276981</v>
      </c>
      <c r="L286">
        <v>105.55570106761566</v>
      </c>
      <c r="M286">
        <v>107.45330748468362</v>
      </c>
      <c r="N286" s="13">
        <f t="shared" si="53"/>
        <v>96.45</v>
      </c>
    </row>
    <row r="287" spans="1:14" x14ac:dyDescent="0.25">
      <c r="A287" s="1365">
        <v>0.74</v>
      </c>
      <c r="B287">
        <v>89.4</v>
      </c>
      <c r="C287" s="1375">
        <f t="shared" si="52"/>
        <v>61.4</v>
      </c>
      <c r="D287" s="1375">
        <v>97.7</v>
      </c>
      <c r="E287" s="1375">
        <v>61.4</v>
      </c>
      <c r="F287">
        <v>97.7</v>
      </c>
      <c r="G287">
        <v>61.4</v>
      </c>
      <c r="H287">
        <v>88.26</v>
      </c>
      <c r="I287" s="1366">
        <v>64.739999999999995</v>
      </c>
      <c r="J287">
        <v>95.7</v>
      </c>
      <c r="K287">
        <v>74.167187295700657</v>
      </c>
      <c r="L287">
        <v>106.47773148449537</v>
      </c>
      <c r="M287">
        <v>107.56863957441563</v>
      </c>
      <c r="N287" s="13">
        <f t="shared" si="53"/>
        <v>97.7</v>
      </c>
    </row>
    <row r="288" spans="1:14" x14ac:dyDescent="0.25">
      <c r="A288" s="1365">
        <v>0.75</v>
      </c>
      <c r="B288">
        <v>89.4</v>
      </c>
      <c r="C288" s="1375">
        <f t="shared" si="52"/>
        <v>62.3</v>
      </c>
      <c r="D288" s="1375">
        <v>98.6</v>
      </c>
      <c r="E288" s="1375">
        <v>62.3</v>
      </c>
      <c r="F288">
        <v>98.6</v>
      </c>
      <c r="G288">
        <v>62.3</v>
      </c>
      <c r="H288">
        <v>90.49</v>
      </c>
      <c r="I288" s="1366">
        <v>65.260000000000005</v>
      </c>
      <c r="J288">
        <v>95.7</v>
      </c>
      <c r="K288">
        <v>75.904157232134779</v>
      </c>
      <c r="L288">
        <v>107.5263028969043</v>
      </c>
      <c r="M288">
        <v>108.99494412303713</v>
      </c>
      <c r="N288" s="13">
        <f t="shared" si="53"/>
        <v>98.6</v>
      </c>
    </row>
    <row r="289" spans="1:14" x14ac:dyDescent="0.25">
      <c r="A289" s="1365">
        <v>0.76</v>
      </c>
      <c r="B289">
        <v>92.2</v>
      </c>
      <c r="C289" s="1375">
        <f t="shared" si="52"/>
        <v>63.2</v>
      </c>
      <c r="D289" s="1375">
        <v>99.28</v>
      </c>
      <c r="E289" s="1375">
        <v>63.2</v>
      </c>
      <c r="F289">
        <v>99.28</v>
      </c>
      <c r="G289">
        <v>63.2</v>
      </c>
      <c r="H289">
        <v>91.99</v>
      </c>
      <c r="I289" s="1366">
        <v>66.319999999999993</v>
      </c>
      <c r="J289">
        <v>97.4</v>
      </c>
      <c r="K289">
        <v>77.723710899967969</v>
      </c>
      <c r="L289">
        <v>107.77711720824378</v>
      </c>
      <c r="M289">
        <v>109.19202100130748</v>
      </c>
      <c r="N289" s="13">
        <f t="shared" si="53"/>
        <v>99.28</v>
      </c>
    </row>
    <row r="290" spans="1:14" x14ac:dyDescent="0.25">
      <c r="A290" s="1365">
        <v>0.77</v>
      </c>
      <c r="B290">
        <v>92.2</v>
      </c>
      <c r="C290" s="1375">
        <f t="shared" si="52"/>
        <v>63.9</v>
      </c>
      <c r="D290" s="1375">
        <v>99.79</v>
      </c>
      <c r="E290" s="1375">
        <v>63.9</v>
      </c>
      <c r="F290">
        <v>99.79</v>
      </c>
      <c r="G290">
        <v>63.9</v>
      </c>
      <c r="H290">
        <v>93.35</v>
      </c>
      <c r="I290" s="1366">
        <v>66.98</v>
      </c>
      <c r="J290">
        <v>97.4</v>
      </c>
      <c r="K290">
        <v>79.378564037517933</v>
      </c>
      <c r="L290">
        <v>109.1118536243726</v>
      </c>
      <c r="M290">
        <v>110.36270743395779</v>
      </c>
      <c r="N290" s="13">
        <f t="shared" si="53"/>
        <v>99.79</v>
      </c>
    </row>
    <row r="291" spans="1:14" x14ac:dyDescent="0.25">
      <c r="A291" s="1365">
        <v>0.78</v>
      </c>
      <c r="B291">
        <v>95.3</v>
      </c>
      <c r="C291" s="1375">
        <f t="shared" si="52"/>
        <v>64.3</v>
      </c>
      <c r="D291" s="1375">
        <v>100.66</v>
      </c>
      <c r="E291" s="1375">
        <v>64.3</v>
      </c>
      <c r="F291">
        <v>100.66</v>
      </c>
      <c r="G291">
        <v>64.3</v>
      </c>
      <c r="H291">
        <v>94.29</v>
      </c>
      <c r="I291" s="1366">
        <v>67.97</v>
      </c>
      <c r="J291">
        <v>99.2</v>
      </c>
      <c r="K291">
        <v>80.575966351209246</v>
      </c>
      <c r="L291">
        <v>110.36270743395779</v>
      </c>
      <c r="M291">
        <v>110.72664954509442</v>
      </c>
      <c r="N291" s="13">
        <f t="shared" si="53"/>
        <v>100.66</v>
      </c>
    </row>
    <row r="292" spans="1:14" x14ac:dyDescent="0.25">
      <c r="A292" s="1365">
        <v>0.79</v>
      </c>
      <c r="B292">
        <v>95.3</v>
      </c>
      <c r="C292" s="1375">
        <f t="shared" si="52"/>
        <v>64.7</v>
      </c>
      <c r="D292" s="1375">
        <v>101.62</v>
      </c>
      <c r="E292" s="1375">
        <v>64.7</v>
      </c>
      <c r="F292">
        <v>101.62</v>
      </c>
      <c r="G292">
        <v>64.7</v>
      </c>
      <c r="H292">
        <v>95.57</v>
      </c>
      <c r="I292" s="1366">
        <v>68.67</v>
      </c>
      <c r="J292">
        <v>99.2</v>
      </c>
      <c r="K292">
        <v>81.045429550603146</v>
      </c>
      <c r="L292">
        <v>110.72664954509442</v>
      </c>
      <c r="M292">
        <v>111.31754368172466</v>
      </c>
      <c r="N292" s="13">
        <f t="shared" si="53"/>
        <v>101.62</v>
      </c>
    </row>
    <row r="293" spans="1:14" x14ac:dyDescent="0.25">
      <c r="A293" s="1365">
        <v>0.8</v>
      </c>
      <c r="B293">
        <v>97.2</v>
      </c>
      <c r="C293" s="1375">
        <f t="shared" si="52"/>
        <v>66.5</v>
      </c>
      <c r="D293" s="1375">
        <v>103.15</v>
      </c>
      <c r="E293" s="1375">
        <v>66.5</v>
      </c>
      <c r="F293">
        <v>103.15</v>
      </c>
      <c r="G293">
        <v>66.5</v>
      </c>
      <c r="H293">
        <v>96.99</v>
      </c>
      <c r="I293" s="1366">
        <v>69.459999999999994</v>
      </c>
      <c r="J293">
        <v>101.4</v>
      </c>
      <c r="K293">
        <v>83.702644810714517</v>
      </c>
      <c r="L293">
        <v>111.31754368172466</v>
      </c>
      <c r="M293">
        <v>112.84494821092279</v>
      </c>
      <c r="N293" s="13">
        <f t="shared" si="53"/>
        <v>103.15</v>
      </c>
    </row>
    <row r="294" spans="1:14" x14ac:dyDescent="0.25">
      <c r="A294" s="1365">
        <v>0.81</v>
      </c>
      <c r="B294">
        <v>97.2</v>
      </c>
      <c r="C294" s="1375">
        <f t="shared" si="52"/>
        <v>67</v>
      </c>
      <c r="D294" s="1375">
        <v>104.11</v>
      </c>
      <c r="E294" s="1375">
        <v>67</v>
      </c>
      <c r="F294">
        <v>104.11</v>
      </c>
      <c r="G294">
        <v>67</v>
      </c>
      <c r="H294">
        <v>97.92</v>
      </c>
      <c r="I294" s="1366">
        <v>71.38</v>
      </c>
      <c r="J294">
        <v>101.4</v>
      </c>
      <c r="K294">
        <v>84.170371450594757</v>
      </c>
      <c r="L294">
        <v>112.84494821092279</v>
      </c>
      <c r="M294">
        <v>113.14760698623925</v>
      </c>
      <c r="N294" s="13">
        <f t="shared" si="53"/>
        <v>104.11</v>
      </c>
    </row>
    <row r="295" spans="1:14" x14ac:dyDescent="0.25">
      <c r="A295" s="1365">
        <v>0.82</v>
      </c>
      <c r="B295">
        <v>98</v>
      </c>
      <c r="C295" s="1375">
        <f t="shared" si="52"/>
        <v>67.8</v>
      </c>
      <c r="D295" s="1375">
        <v>104.89</v>
      </c>
      <c r="E295" s="1375">
        <v>67.8</v>
      </c>
      <c r="F295">
        <v>104.89</v>
      </c>
      <c r="G295">
        <v>67.8</v>
      </c>
      <c r="H295">
        <v>99.36</v>
      </c>
      <c r="I295" s="1366">
        <v>73.349999999999994</v>
      </c>
      <c r="J295">
        <v>102.8</v>
      </c>
      <c r="K295">
        <v>85.104457050243099</v>
      </c>
      <c r="L295">
        <v>113.14760698623925</v>
      </c>
      <c r="M295">
        <v>113.88050526048525</v>
      </c>
      <c r="N295" s="13">
        <f t="shared" si="53"/>
        <v>104.89</v>
      </c>
    </row>
    <row r="296" spans="1:14" x14ac:dyDescent="0.25">
      <c r="A296" s="1365">
        <v>0.83</v>
      </c>
      <c r="B296">
        <v>98</v>
      </c>
      <c r="C296" s="1375">
        <f t="shared" si="52"/>
        <v>70.7</v>
      </c>
      <c r="D296" s="1375">
        <v>106.81</v>
      </c>
      <c r="E296" s="1375">
        <v>70.7</v>
      </c>
      <c r="F296">
        <v>106.81</v>
      </c>
      <c r="G296">
        <v>70.7</v>
      </c>
      <c r="H296">
        <v>99.85</v>
      </c>
      <c r="I296" s="1366">
        <v>74.209999999999994</v>
      </c>
      <c r="J296">
        <v>102.8</v>
      </c>
      <c r="K296">
        <v>85.600769890777528</v>
      </c>
      <c r="L296">
        <v>113.88050526048525</v>
      </c>
      <c r="M296">
        <v>114.40831291879816</v>
      </c>
      <c r="N296" s="13">
        <f t="shared" si="53"/>
        <v>106.81</v>
      </c>
    </row>
    <row r="297" spans="1:14" x14ac:dyDescent="0.25">
      <c r="A297" s="1365">
        <v>0.84</v>
      </c>
      <c r="B297">
        <v>100.2</v>
      </c>
      <c r="C297" s="1375">
        <f t="shared" si="52"/>
        <v>71.099999999999994</v>
      </c>
      <c r="D297" s="1375">
        <v>107.89</v>
      </c>
      <c r="E297" s="1375">
        <v>71.099999999999994</v>
      </c>
      <c r="F297">
        <v>107.89</v>
      </c>
      <c r="G297">
        <v>71.099999999999994</v>
      </c>
      <c r="H297">
        <v>100.78</v>
      </c>
      <c r="I297" s="1366">
        <v>74.95</v>
      </c>
      <c r="J297">
        <v>104.2</v>
      </c>
      <c r="K297">
        <v>87.381649246697719</v>
      </c>
      <c r="L297">
        <v>114.40831291879816</v>
      </c>
      <c r="M297">
        <v>114.9209486166008</v>
      </c>
      <c r="N297" s="13">
        <f t="shared" si="53"/>
        <v>107.89</v>
      </c>
    </row>
    <row r="298" spans="1:14" x14ac:dyDescent="0.25">
      <c r="A298" s="1365">
        <v>0.85</v>
      </c>
      <c r="B298">
        <v>100.2</v>
      </c>
      <c r="C298" s="1375">
        <f t="shared" si="52"/>
        <v>72.5</v>
      </c>
      <c r="D298" s="1375">
        <v>109.03</v>
      </c>
      <c r="E298" s="1375">
        <v>72.5</v>
      </c>
      <c r="F298">
        <v>109.03</v>
      </c>
      <c r="G298">
        <v>72.5</v>
      </c>
      <c r="H298">
        <v>102.72</v>
      </c>
      <c r="I298" s="1366">
        <v>76.569999999999993</v>
      </c>
      <c r="J298">
        <v>104.2</v>
      </c>
      <c r="K298">
        <v>89.43742461569849</v>
      </c>
      <c r="L298">
        <v>114.9209486166008</v>
      </c>
      <c r="M298">
        <v>116.93676790415503</v>
      </c>
      <c r="N298" s="13">
        <f t="shared" si="53"/>
        <v>109.03</v>
      </c>
    </row>
    <row r="299" spans="1:14" x14ac:dyDescent="0.25">
      <c r="A299" s="1365">
        <v>0.86</v>
      </c>
      <c r="B299">
        <v>106.7</v>
      </c>
      <c r="C299" s="1375">
        <f t="shared" si="52"/>
        <v>74.2</v>
      </c>
      <c r="D299" s="1375">
        <v>110.59</v>
      </c>
      <c r="E299" s="1375">
        <v>74.2</v>
      </c>
      <c r="F299">
        <v>110.59</v>
      </c>
      <c r="G299">
        <v>74.2</v>
      </c>
      <c r="H299">
        <v>105.2</v>
      </c>
      <c r="I299" s="1366">
        <v>78.87</v>
      </c>
      <c r="J299">
        <v>105.7</v>
      </c>
      <c r="K299">
        <v>92.046980796931763</v>
      </c>
      <c r="L299">
        <v>116.93676790415503</v>
      </c>
      <c r="M299">
        <v>117.2304312094326</v>
      </c>
      <c r="N299" s="13">
        <f t="shared" si="53"/>
        <v>110.59</v>
      </c>
    </row>
    <row r="300" spans="1:14" x14ac:dyDescent="0.25">
      <c r="A300" s="1365">
        <v>0.87</v>
      </c>
      <c r="B300">
        <v>106.7</v>
      </c>
      <c r="C300" s="1375">
        <f t="shared" si="52"/>
        <v>74.3</v>
      </c>
      <c r="D300" s="1375">
        <v>111.79</v>
      </c>
      <c r="E300" s="1375">
        <v>74.3</v>
      </c>
      <c r="F300">
        <v>111.79</v>
      </c>
      <c r="G300">
        <v>74.3</v>
      </c>
      <c r="H300">
        <v>108</v>
      </c>
      <c r="I300" s="1366">
        <v>81.87</v>
      </c>
      <c r="J300">
        <v>105.7</v>
      </c>
      <c r="K300">
        <v>93.1875631297425</v>
      </c>
      <c r="L300">
        <v>117.2304312094326</v>
      </c>
      <c r="M300">
        <v>117.66968048587273</v>
      </c>
      <c r="N300" s="13">
        <f t="shared" si="53"/>
        <v>111.79</v>
      </c>
    </row>
    <row r="301" spans="1:14" x14ac:dyDescent="0.25">
      <c r="A301" s="1365">
        <v>0.88</v>
      </c>
      <c r="B301">
        <v>113.7</v>
      </c>
      <c r="C301" s="1375">
        <f t="shared" si="52"/>
        <v>77.400000000000006</v>
      </c>
      <c r="D301" s="1375">
        <v>113.71</v>
      </c>
      <c r="E301" s="1375">
        <v>77.400000000000006</v>
      </c>
      <c r="F301">
        <v>113.71</v>
      </c>
      <c r="G301">
        <v>77.400000000000006</v>
      </c>
      <c r="H301">
        <v>110.04</v>
      </c>
      <c r="I301" s="1366">
        <v>83.62</v>
      </c>
      <c r="J301">
        <v>107.7</v>
      </c>
      <c r="K301">
        <v>94.128153849576222</v>
      </c>
      <c r="L301">
        <v>117.66968048587273</v>
      </c>
      <c r="M301">
        <v>122.12375088014801</v>
      </c>
      <c r="N301" s="13">
        <f t="shared" si="53"/>
        <v>113.71</v>
      </c>
    </row>
    <row r="302" spans="1:14" x14ac:dyDescent="0.25">
      <c r="A302" s="1365">
        <v>0.89</v>
      </c>
      <c r="B302">
        <v>113.7</v>
      </c>
      <c r="C302" s="1375">
        <f t="shared" si="52"/>
        <v>86</v>
      </c>
      <c r="D302" s="1375">
        <v>115.95</v>
      </c>
      <c r="E302" s="1375">
        <v>86</v>
      </c>
      <c r="F302">
        <v>115.95</v>
      </c>
      <c r="G302">
        <v>86</v>
      </c>
      <c r="H302">
        <v>111.88</v>
      </c>
      <c r="I302" s="1366">
        <v>86.35</v>
      </c>
      <c r="J302">
        <v>107.7</v>
      </c>
      <c r="K302">
        <v>96.736816870144295</v>
      </c>
      <c r="L302">
        <v>122.66958265980897</v>
      </c>
      <c r="M302">
        <v>122.98617489813704</v>
      </c>
      <c r="N302" s="13">
        <f t="shared" si="53"/>
        <v>115.95</v>
      </c>
    </row>
    <row r="303" spans="1:14" x14ac:dyDescent="0.25">
      <c r="A303" s="1365">
        <v>0.9</v>
      </c>
      <c r="B303">
        <v>124.2</v>
      </c>
      <c r="C303" s="1375">
        <f t="shared" si="52"/>
        <v>89.1</v>
      </c>
      <c r="D303" s="1375">
        <v>117.64</v>
      </c>
      <c r="E303" s="1375">
        <v>89.1</v>
      </c>
      <c r="F303">
        <v>117.64</v>
      </c>
      <c r="G303">
        <v>89.1</v>
      </c>
      <c r="H303">
        <v>115.16</v>
      </c>
      <c r="I303" s="1366">
        <v>90.22</v>
      </c>
      <c r="J303">
        <v>109.6</v>
      </c>
      <c r="K303">
        <v>99.470000370961174</v>
      </c>
      <c r="L303">
        <v>123.90755647698028</v>
      </c>
      <c r="M303">
        <v>126.64676194154757</v>
      </c>
      <c r="N303" s="13">
        <f t="shared" si="53"/>
        <v>117.64</v>
      </c>
    </row>
    <row r="304" spans="1:14" x14ac:dyDescent="0.25">
      <c r="A304" s="1365">
        <v>0.91</v>
      </c>
      <c r="B304">
        <v>124.2</v>
      </c>
      <c r="C304" s="1375">
        <f t="shared" si="52"/>
        <v>91.3</v>
      </c>
      <c r="D304" s="1375">
        <v>118.82</v>
      </c>
      <c r="E304" s="1375">
        <v>91.3</v>
      </c>
      <c r="F304">
        <v>118.82</v>
      </c>
      <c r="G304">
        <v>91.3</v>
      </c>
      <c r="H304">
        <v>119.87</v>
      </c>
      <c r="I304" s="1366">
        <v>96.1</v>
      </c>
      <c r="J304">
        <v>109.6</v>
      </c>
      <c r="K304">
        <v>102.58010922895046</v>
      </c>
      <c r="L304">
        <v>127.91761563661967</v>
      </c>
      <c r="M304">
        <v>128.53185564778059</v>
      </c>
      <c r="N304" s="13">
        <f t="shared" si="53"/>
        <v>118.82</v>
      </c>
    </row>
    <row r="305" spans="1:14" x14ac:dyDescent="0.25">
      <c r="A305" s="1365">
        <v>0.92</v>
      </c>
      <c r="B305">
        <v>131.80000000000001</v>
      </c>
      <c r="C305" s="1375">
        <f t="shared" si="52"/>
        <v>95.1</v>
      </c>
      <c r="D305" s="1375">
        <v>120.76</v>
      </c>
      <c r="E305" s="1375">
        <v>95.1</v>
      </c>
      <c r="F305">
        <v>120.76</v>
      </c>
      <c r="G305">
        <v>95.1</v>
      </c>
      <c r="H305">
        <v>123.51</v>
      </c>
      <c r="I305" s="1366">
        <v>104.74</v>
      </c>
      <c r="J305">
        <v>113</v>
      </c>
      <c r="K305">
        <v>104.71783397706164</v>
      </c>
      <c r="L305">
        <v>131.45131262305839</v>
      </c>
      <c r="M305">
        <v>131.94241568500888</v>
      </c>
      <c r="N305" s="13">
        <f t="shared" si="53"/>
        <v>120.76</v>
      </c>
    </row>
    <row r="306" spans="1:14" x14ac:dyDescent="0.25">
      <c r="A306" s="1365">
        <v>0.93</v>
      </c>
      <c r="B306">
        <v>131.80000000000001</v>
      </c>
      <c r="C306" s="1375">
        <f t="shared" si="52"/>
        <v>105.4</v>
      </c>
      <c r="D306" s="1375">
        <v>123.68</v>
      </c>
      <c r="E306" s="1375">
        <v>105.4</v>
      </c>
      <c r="F306">
        <v>123.68</v>
      </c>
      <c r="G306">
        <v>105.4</v>
      </c>
      <c r="H306">
        <v>126.76</v>
      </c>
      <c r="I306" s="1366">
        <v>110.22</v>
      </c>
      <c r="J306">
        <v>113</v>
      </c>
      <c r="K306">
        <v>108.01434664056491</v>
      </c>
      <c r="L306">
        <v>133.63030100678037</v>
      </c>
      <c r="M306">
        <v>133.64339193492279</v>
      </c>
      <c r="N306" s="13">
        <f t="shared" si="53"/>
        <v>123.68</v>
      </c>
    </row>
    <row r="307" spans="1:14" x14ac:dyDescent="0.25">
      <c r="A307" s="1365">
        <v>0.94</v>
      </c>
      <c r="B307">
        <v>138.19999999999999</v>
      </c>
      <c r="C307" s="1375">
        <f t="shared" si="52"/>
        <v>106.3</v>
      </c>
      <c r="D307" s="1375">
        <v>127.3</v>
      </c>
      <c r="E307" s="1375">
        <v>106.3</v>
      </c>
      <c r="F307">
        <v>127.3</v>
      </c>
      <c r="G307">
        <v>106.3</v>
      </c>
      <c r="H307">
        <v>130.81</v>
      </c>
      <c r="I307" s="1366">
        <v>113.52</v>
      </c>
      <c r="J307">
        <v>117.8</v>
      </c>
      <c r="K307">
        <v>112.16248038802799</v>
      </c>
      <c r="L307">
        <v>133.81024472126512</v>
      </c>
      <c r="M307">
        <v>134.85030934099322</v>
      </c>
      <c r="N307" s="13">
        <f t="shared" si="53"/>
        <v>127.3</v>
      </c>
    </row>
    <row r="308" spans="1:14" x14ac:dyDescent="0.25">
      <c r="A308" s="1365">
        <v>0.95</v>
      </c>
      <c r="B308">
        <v>142</v>
      </c>
      <c r="C308" s="1375">
        <f t="shared" si="52"/>
        <v>147.30000000000001</v>
      </c>
      <c r="D308" s="1375">
        <v>132.15</v>
      </c>
      <c r="E308" s="1375">
        <v>147.30000000000001</v>
      </c>
      <c r="F308">
        <v>132.15</v>
      </c>
      <c r="G308">
        <v>147.30000000000001</v>
      </c>
      <c r="H308">
        <v>137.57</v>
      </c>
      <c r="I308" s="1366">
        <v>122.4</v>
      </c>
      <c r="J308">
        <v>124.3</v>
      </c>
      <c r="K308">
        <v>120.91545666198661</v>
      </c>
      <c r="L308">
        <v>139.45064148537733</v>
      </c>
      <c r="M308">
        <v>140.93350131836351</v>
      </c>
      <c r="N308" s="13">
        <f t="shared" si="53"/>
        <v>132.15</v>
      </c>
    </row>
    <row r="309" spans="1:14" x14ac:dyDescent="0.25">
      <c r="A309" s="1365">
        <v>0.96</v>
      </c>
      <c r="B309">
        <v>149.9</v>
      </c>
      <c r="C309" s="1375">
        <f t="shared" si="52"/>
        <v>179.6</v>
      </c>
      <c r="D309" s="1375">
        <v>140.19</v>
      </c>
      <c r="E309" s="1375">
        <v>179.6</v>
      </c>
      <c r="F309">
        <v>140.19</v>
      </c>
      <c r="G309">
        <v>179.6</v>
      </c>
      <c r="H309">
        <v>141.94</v>
      </c>
      <c r="I309" s="1366">
        <v>135.6</v>
      </c>
      <c r="J309">
        <v>124.3</v>
      </c>
      <c r="K309">
        <v>126.15288201160541</v>
      </c>
      <c r="L309">
        <v>141.66891637958034</v>
      </c>
      <c r="M309">
        <v>142.45973761912339</v>
      </c>
      <c r="N309" s="13">
        <f t="shared" si="53"/>
        <v>140.19</v>
      </c>
    </row>
    <row r="310" spans="1:14" x14ac:dyDescent="0.25">
      <c r="A310" s="1365">
        <v>0.97</v>
      </c>
      <c r="B310">
        <v>158.69999999999999</v>
      </c>
      <c r="C310" s="1375">
        <f t="shared" si="52"/>
        <v>192</v>
      </c>
      <c r="D310" s="1375">
        <v>145.26</v>
      </c>
      <c r="E310" s="1375">
        <v>192</v>
      </c>
      <c r="F310">
        <v>145.26</v>
      </c>
      <c r="G310">
        <v>192</v>
      </c>
      <c r="H310">
        <v>153.62</v>
      </c>
      <c r="I310" s="1366">
        <v>143.68</v>
      </c>
      <c r="J310">
        <v>140.9</v>
      </c>
      <c r="K310">
        <v>133.46637312057405</v>
      </c>
      <c r="L310">
        <v>147.50499506878862</v>
      </c>
      <c r="M310">
        <v>148.10401095206072</v>
      </c>
      <c r="N310" s="13">
        <f t="shared" si="53"/>
        <v>145.26</v>
      </c>
    </row>
    <row r="311" spans="1:14" x14ac:dyDescent="0.25">
      <c r="A311" s="1365">
        <v>0.98</v>
      </c>
      <c r="B311">
        <v>170.7</v>
      </c>
      <c r="C311" s="1375">
        <f t="shared" si="52"/>
        <v>206.8</v>
      </c>
      <c r="D311" s="1375">
        <v>155.91999999999999</v>
      </c>
      <c r="E311" s="1375">
        <v>206.8</v>
      </c>
      <c r="F311">
        <v>155.91999999999999</v>
      </c>
      <c r="G311">
        <v>206.8</v>
      </c>
      <c r="H311">
        <v>169.56</v>
      </c>
      <c r="I311" s="1366">
        <v>154.21</v>
      </c>
      <c r="J311">
        <v>140.9</v>
      </c>
      <c r="K311">
        <v>156.27196427833135</v>
      </c>
      <c r="L311">
        <v>169.55779052225031</v>
      </c>
      <c r="M311">
        <v>180.92197167483283</v>
      </c>
      <c r="N311" s="13">
        <f t="shared" si="53"/>
        <v>155.91999999999999</v>
      </c>
    </row>
    <row r="312" spans="1:14" x14ac:dyDescent="0.25">
      <c r="A312" s="1365">
        <v>0.99</v>
      </c>
      <c r="B312">
        <v>186.1</v>
      </c>
      <c r="C312" s="1375">
        <f t="shared" si="52"/>
        <v>216.5</v>
      </c>
      <c r="D312" s="1375">
        <v>175.85</v>
      </c>
      <c r="E312" s="1375">
        <v>216.5</v>
      </c>
      <c r="F312">
        <v>175.85</v>
      </c>
      <c r="G312">
        <v>216.5</v>
      </c>
      <c r="H312">
        <v>195.62</v>
      </c>
      <c r="I312" s="1366">
        <v>157.52000000000001</v>
      </c>
      <c r="J312">
        <v>179.6</v>
      </c>
      <c r="K312">
        <v>176.09318277176789</v>
      </c>
      <c r="L312">
        <v>188.32405924739791</v>
      </c>
      <c r="M312">
        <v>199.40034812880765</v>
      </c>
      <c r="N312" s="13">
        <f t="shared" si="53"/>
        <v>175.85</v>
      </c>
    </row>
    <row r="313" spans="1:14" x14ac:dyDescent="0.25">
      <c r="A313" s="1365">
        <v>1</v>
      </c>
      <c r="B313">
        <v>192.2</v>
      </c>
      <c r="C313" s="1375">
        <f t="shared" si="52"/>
        <v>250</v>
      </c>
      <c r="D313" s="1375">
        <v>241.52</v>
      </c>
      <c r="E313" s="1375">
        <v>250</v>
      </c>
      <c r="F313">
        <v>241.52</v>
      </c>
      <c r="G313">
        <v>250</v>
      </c>
      <c r="H313">
        <v>227.99</v>
      </c>
      <c r="I313" s="1366">
        <v>209.48</v>
      </c>
      <c r="J313">
        <v>179.6</v>
      </c>
      <c r="K313">
        <v>202.11355391533044</v>
      </c>
      <c r="L313">
        <v>201.91379093198992</v>
      </c>
      <c r="M313">
        <v>227.17235218464299</v>
      </c>
      <c r="N313" s="13">
        <f t="shared" si="53"/>
        <v>241.52</v>
      </c>
    </row>
    <row r="314" spans="1:14" s="13" customFormat="1" x14ac:dyDescent="0.25">
      <c r="A314" s="1365" t="s">
        <v>1992</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1856</v>
      </c>
      <c r="B315" s="13">
        <f ca="1">AVERAGE('классы ЭЭ и выбросы ПГ'!$Y$54)</f>
        <v>108.5797960784314</v>
      </c>
      <c r="C315" s="13">
        <f ca="1">B315</f>
        <v>108.5797960784314</v>
      </c>
      <c r="D315" s="13">
        <f ca="1">AVERAGE('классы ЭЭ и выбросы ПГ'!$Z$54:$AA$54)</f>
        <v>113.93797254901965</v>
      </c>
      <c r="E315" s="13">
        <f ca="1">D315</f>
        <v>113.93797254901965</v>
      </c>
      <c r="F315" s="13">
        <f ca="1">AVERAGE('классы ЭЭ и выбросы ПГ'!$AB$54:$AC$54)</f>
        <v>132.71947843137252</v>
      </c>
      <c r="G315" s="13">
        <f ca="1">F315</f>
        <v>132.71947843137252</v>
      </c>
      <c r="H315" s="13">
        <f ca="1">AVERAGE('классы ЭЭ и выбросы ПГ'!$AD$54:$AE$54)</f>
        <v>138.2952039215686</v>
      </c>
      <c r="I315" s="13">
        <f ca="1">H315</f>
        <v>138.2952039215686</v>
      </c>
      <c r="J315" s="13">
        <f ca="1">AVERAGE('классы ЭЭ и выбросы ПГ'!$AF$54:$AG$54)</f>
        <v>138.15818431372549</v>
      </c>
      <c r="K315" s="13">
        <f ca="1">J315</f>
        <v>138.15818431372549</v>
      </c>
      <c r="L315" s="13">
        <f ca="1">AVERAGE('классы ЭЭ и выбросы ПГ'!$AH$54:$AN$54)</f>
        <v>137.88398431372548</v>
      </c>
      <c r="M315" s="13">
        <f ca="1">L315</f>
        <v>137.88398431372548</v>
      </c>
    </row>
    <row r="316" spans="1:14" s="13" customFormat="1" x14ac:dyDescent="0.25">
      <c r="A316" s="13" t="s">
        <v>1855</v>
      </c>
      <c r="B316" s="13">
        <f t="shared" ref="B316:M316" ca="1" si="54">0.4*B315</f>
        <v>43.431918431372566</v>
      </c>
      <c r="C316" s="13">
        <f t="shared" ca="1" si="54"/>
        <v>43.431918431372566</v>
      </c>
      <c r="D316" s="13">
        <f t="shared" ca="1" si="54"/>
        <v>45.575189019607862</v>
      </c>
      <c r="E316" s="13">
        <f t="shared" ca="1" si="54"/>
        <v>45.575189019607862</v>
      </c>
      <c r="F316" s="13">
        <f t="shared" ca="1" si="54"/>
        <v>53.087791372549013</v>
      </c>
      <c r="G316" s="13">
        <f t="shared" ca="1" si="54"/>
        <v>53.087791372549013</v>
      </c>
      <c r="H316" s="13">
        <f t="shared" ca="1" si="54"/>
        <v>55.318081568627441</v>
      </c>
      <c r="I316" s="13">
        <f t="shared" ca="1" si="54"/>
        <v>55.318081568627441</v>
      </c>
      <c r="J316" s="13">
        <f t="shared" ca="1" si="54"/>
        <v>55.263273725490194</v>
      </c>
      <c r="K316" s="13">
        <f t="shared" ca="1" si="54"/>
        <v>55.263273725490194</v>
      </c>
      <c r="L316" s="13">
        <f t="shared" ca="1" si="54"/>
        <v>55.153593725490197</v>
      </c>
      <c r="M316" s="13">
        <f t="shared" ca="1" si="54"/>
        <v>55.153593725490197</v>
      </c>
    </row>
    <row r="317" spans="1:14" x14ac:dyDescent="0.25">
      <c r="A317"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t="s">
        <v>1482</v>
      </c>
    </row>
    <row r="318" spans="1:14" x14ac:dyDescent="0.25">
      <c r="A318" s="1365">
        <v>0</v>
      </c>
      <c r="B318">
        <v>2.276803602669434E-2</v>
      </c>
      <c r="C318" s="13">
        <v>2.466377575598927E-2</v>
      </c>
      <c r="D318" s="1375">
        <v>2.5000000000000001E-2</v>
      </c>
      <c r="E318" s="1375">
        <v>0.02</v>
      </c>
      <c r="F318">
        <v>2.5000000000000001E-2</v>
      </c>
      <c r="G318">
        <v>0.02</v>
      </c>
      <c r="H318">
        <v>2.7699999999999999E-2</v>
      </c>
      <c r="I318" s="1366">
        <v>2.3099999999999999E-2</v>
      </c>
      <c r="J318">
        <v>2.8000000000000001E-2</v>
      </c>
      <c r="K318">
        <v>2.5336627345963699E-2</v>
      </c>
      <c r="L318">
        <v>2.4855550081424854E-2</v>
      </c>
      <c r="M318">
        <v>1.738077220915164E-2</v>
      </c>
      <c r="N318">
        <f>$B$106*B318+$C$106*C318+$D$106*D318+$E$106*E318+$F$106*F318+$G$106*G318+$H$106*H318+$I$106*I318+$J$106*J318+$K$106*K318+$L$106*L318+$M$106*M318</f>
        <v>2.5000000000000001E-2</v>
      </c>
    </row>
    <row r="319" spans="1:14" x14ac:dyDescent="0.25">
      <c r="A319" s="1365">
        <v>0.01</v>
      </c>
      <c r="B319">
        <v>2.6854543598449094E-2</v>
      </c>
      <c r="C319" s="13">
        <v>2.4879144504379846E-2</v>
      </c>
      <c r="D319" s="1375">
        <v>2.63E-2</v>
      </c>
      <c r="E319" s="1375">
        <v>0.02</v>
      </c>
      <c r="F319">
        <v>2.63E-2</v>
      </c>
      <c r="G319">
        <v>0.02</v>
      </c>
      <c r="H319">
        <v>3.1600000000000003E-2</v>
      </c>
      <c r="I319" s="1366">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2.63E-2</v>
      </c>
    </row>
    <row r="320" spans="1:14" x14ac:dyDescent="0.25">
      <c r="A320" s="1365">
        <v>0.02</v>
      </c>
      <c r="B320">
        <v>3.1628884245603207E-2</v>
      </c>
      <c r="C320" s="13">
        <v>2.585736126909606E-2</v>
      </c>
      <c r="D320" s="1375">
        <v>2.8299999999999999E-2</v>
      </c>
      <c r="E320" s="1375">
        <v>0.02</v>
      </c>
      <c r="F320">
        <v>2.8299999999999999E-2</v>
      </c>
      <c r="G320">
        <v>0.02</v>
      </c>
      <c r="H320">
        <v>3.49E-2</v>
      </c>
      <c r="I320" s="1366">
        <v>2.3900000000000001E-2</v>
      </c>
      <c r="J320">
        <v>2.9000000000000001E-2</v>
      </c>
      <c r="K320">
        <v>2.9657547633598472E-2</v>
      </c>
      <c r="L320">
        <v>2.6520801497923803E-2</v>
      </c>
      <c r="M320">
        <v>2.0401009368571369E-2</v>
      </c>
      <c r="N320" s="13">
        <f t="shared" si="55"/>
        <v>2.8299999999999999E-2</v>
      </c>
    </row>
    <row r="321" spans="1:14" x14ac:dyDescent="0.25">
      <c r="A321" s="1365">
        <v>0.03</v>
      </c>
      <c r="B321">
        <v>3.4055039674645946E-2</v>
      </c>
      <c r="C321" s="13">
        <v>2.6028739750682886E-2</v>
      </c>
      <c r="D321" s="1375">
        <v>3.0499999999999999E-2</v>
      </c>
      <c r="E321" s="1375">
        <v>0.02</v>
      </c>
      <c r="F321">
        <v>3.0499999999999999E-2</v>
      </c>
      <c r="G321">
        <v>0.02</v>
      </c>
      <c r="H321">
        <v>3.5900000000000001E-2</v>
      </c>
      <c r="I321" s="1366">
        <v>2.46E-2</v>
      </c>
      <c r="J321">
        <v>2.9000000000000001E-2</v>
      </c>
      <c r="K321">
        <v>3.0316466540082108E-2</v>
      </c>
      <c r="L321">
        <v>2.735775789885006E-2</v>
      </c>
      <c r="M321">
        <v>2.0625337296124625E-2</v>
      </c>
      <c r="N321" s="13">
        <f t="shared" si="55"/>
        <v>3.0499999999999999E-2</v>
      </c>
    </row>
    <row r="322" spans="1:14" x14ac:dyDescent="0.25">
      <c r="A322" s="1365">
        <v>0.04</v>
      </c>
      <c r="B322">
        <v>3.500287853360888E-2</v>
      </c>
      <c r="C322" s="13">
        <v>2.6837581627409995E-2</v>
      </c>
      <c r="D322" s="1375">
        <v>3.8600000000000002E-2</v>
      </c>
      <c r="E322" s="1375">
        <v>2.1999999999999999E-2</v>
      </c>
      <c r="F322">
        <v>3.8600000000000002E-2</v>
      </c>
      <c r="G322">
        <v>2.1999999999999999E-2</v>
      </c>
      <c r="H322">
        <v>3.6999999999999998E-2</v>
      </c>
      <c r="I322" s="1366">
        <v>2.47E-2</v>
      </c>
      <c r="J322">
        <v>0.03</v>
      </c>
      <c r="K322">
        <v>3.0645836499607865E-2</v>
      </c>
      <c r="L322">
        <v>2.8416379592097529E-2</v>
      </c>
      <c r="M322">
        <v>2.2855622658100882E-2</v>
      </c>
      <c r="N322" s="13">
        <f t="shared" si="55"/>
        <v>3.8600000000000002E-2</v>
      </c>
    </row>
    <row r="323" spans="1:14" x14ac:dyDescent="0.25">
      <c r="A323" s="1365">
        <v>0.05</v>
      </c>
      <c r="B323">
        <v>3.7265248494630761E-2</v>
      </c>
      <c r="C323" s="13">
        <v>2.7524572782717804E-2</v>
      </c>
      <c r="D323" s="1375">
        <v>4.5699999999999998E-2</v>
      </c>
      <c r="E323" s="1375">
        <v>2.1999999999999999E-2</v>
      </c>
      <c r="F323">
        <v>4.5699999999999998E-2</v>
      </c>
      <c r="G323">
        <v>2.1999999999999999E-2</v>
      </c>
      <c r="H323">
        <v>3.85E-2</v>
      </c>
      <c r="I323" s="1366">
        <v>2.4899999999999999E-2</v>
      </c>
      <c r="J323">
        <v>3.1E-2</v>
      </c>
      <c r="K323">
        <v>3.0809295737553352E-2</v>
      </c>
      <c r="L323">
        <v>2.8956965167845041E-2</v>
      </c>
      <c r="M323">
        <v>2.2932838919307908E-2</v>
      </c>
      <c r="N323" s="13">
        <f t="shared" si="55"/>
        <v>4.5699999999999998E-2</v>
      </c>
    </row>
    <row r="324" spans="1:14" x14ac:dyDescent="0.25">
      <c r="A324" s="1365">
        <v>0.06</v>
      </c>
      <c r="B324">
        <v>3.850472255327294E-2</v>
      </c>
      <c r="C324" s="13">
        <v>2.7927805335289397E-2</v>
      </c>
      <c r="D324" s="1375">
        <v>4.7399999999999998E-2</v>
      </c>
      <c r="E324" s="1375">
        <v>2.1999999999999999E-2</v>
      </c>
      <c r="F324">
        <v>4.7399999999999998E-2</v>
      </c>
      <c r="G324">
        <v>2.1999999999999999E-2</v>
      </c>
      <c r="H324">
        <v>3.9800000000000002E-2</v>
      </c>
      <c r="I324" s="1366">
        <v>2.6599999999999999E-2</v>
      </c>
      <c r="J324">
        <v>3.2000000000000001E-2</v>
      </c>
      <c r="K324">
        <v>3.1202871224801913E-2</v>
      </c>
      <c r="L324">
        <v>2.9434852205144441E-2</v>
      </c>
      <c r="M324">
        <v>2.3063964108683443E-2</v>
      </c>
      <c r="N324" s="13">
        <f t="shared" si="55"/>
        <v>4.7399999999999998E-2</v>
      </c>
    </row>
    <row r="325" spans="1:14" x14ac:dyDescent="0.25">
      <c r="A325" s="1365">
        <v>7.0000000000000007E-2</v>
      </c>
      <c r="B325">
        <v>4.0197274274188372E-2</v>
      </c>
      <c r="C325" s="13">
        <v>2.8636204575150006E-2</v>
      </c>
      <c r="D325" s="1375">
        <v>4.8599999999999997E-2</v>
      </c>
      <c r="E325" s="1375">
        <v>2.1999999999999999E-2</v>
      </c>
      <c r="F325">
        <v>4.8599999999999997E-2</v>
      </c>
      <c r="G325">
        <v>2.1999999999999999E-2</v>
      </c>
      <c r="H325">
        <v>4.1399999999999999E-2</v>
      </c>
      <c r="I325" s="1366">
        <v>2.8299999999999999E-2</v>
      </c>
      <c r="J325">
        <v>3.2000000000000001E-2</v>
      </c>
      <c r="K325">
        <v>3.168619520549594E-2</v>
      </c>
      <c r="L325">
        <v>2.9866115877396703E-2</v>
      </c>
      <c r="M325">
        <v>2.4428200148704244E-2</v>
      </c>
      <c r="N325" s="13">
        <f t="shared" si="55"/>
        <v>4.8599999999999997E-2</v>
      </c>
    </row>
    <row r="326" spans="1:14" x14ac:dyDescent="0.25">
      <c r="A326" s="1365">
        <v>0.08</v>
      </c>
      <c r="B326">
        <v>4.1325054836774275E-2</v>
      </c>
      <c r="C326" s="13">
        <v>2.8788155404575137E-2</v>
      </c>
      <c r="D326" s="1375">
        <v>5.04E-2</v>
      </c>
      <c r="E326" s="1375">
        <v>2.4E-2</v>
      </c>
      <c r="F326">
        <v>5.04E-2</v>
      </c>
      <c r="G326">
        <v>2.4E-2</v>
      </c>
      <c r="H326">
        <v>4.19E-2</v>
      </c>
      <c r="I326" s="1366">
        <v>2.7199999999999998E-2</v>
      </c>
      <c r="J326">
        <v>3.3000000000000002E-2</v>
      </c>
      <c r="K326">
        <v>3.2649087505012026E-2</v>
      </c>
      <c r="L326">
        <v>3.0643500363092196E-2</v>
      </c>
      <c r="M326">
        <v>2.4610587465610793E-2</v>
      </c>
      <c r="N326" s="13">
        <f t="shared" si="55"/>
        <v>5.04E-2</v>
      </c>
    </row>
    <row r="327" spans="1:14" x14ac:dyDescent="0.25">
      <c r="A327" s="1365">
        <v>0.09</v>
      </c>
      <c r="B327">
        <v>4.2628559477535022E-2</v>
      </c>
      <c r="C327" s="13">
        <v>2.8921742343383548E-2</v>
      </c>
      <c r="D327" s="1375">
        <v>5.0799999999999998E-2</v>
      </c>
      <c r="E327" s="1375">
        <v>2.4E-2</v>
      </c>
      <c r="F327">
        <v>5.0799999999999998E-2</v>
      </c>
      <c r="G327">
        <v>2.4E-2</v>
      </c>
      <c r="H327">
        <v>4.2299999999999997E-2</v>
      </c>
      <c r="I327" s="1366">
        <v>2.98E-2</v>
      </c>
      <c r="J327">
        <v>3.3000000000000002E-2</v>
      </c>
      <c r="K327">
        <v>3.3710373197130952E-2</v>
      </c>
      <c r="L327">
        <v>3.104570807979895E-2</v>
      </c>
      <c r="M327">
        <v>2.5523063403608021E-2</v>
      </c>
      <c r="N327" s="13">
        <f t="shared" si="55"/>
        <v>5.0799999999999998E-2</v>
      </c>
    </row>
    <row r="328" spans="1:14" x14ac:dyDescent="0.25">
      <c r="A328" s="1365">
        <v>0.1</v>
      </c>
      <c r="B328">
        <v>4.3830988497781748E-2</v>
      </c>
      <c r="C328" s="13">
        <v>2.971096078499311E-2</v>
      </c>
      <c r="D328" s="1375">
        <v>5.21E-2</v>
      </c>
      <c r="E328" s="1375">
        <v>2.5000000000000001E-2</v>
      </c>
      <c r="F328">
        <v>5.21E-2</v>
      </c>
      <c r="G328">
        <v>2.5000000000000001E-2</v>
      </c>
      <c r="H328">
        <v>4.3499999999999997E-2</v>
      </c>
      <c r="I328" s="1366">
        <v>0.03</v>
      </c>
      <c r="J328">
        <v>3.4000000000000002E-2</v>
      </c>
      <c r="K328">
        <v>3.392852198916832E-2</v>
      </c>
      <c r="L328">
        <v>3.1741475056143199E-2</v>
      </c>
      <c r="M328">
        <v>2.5724217861982181E-2</v>
      </c>
      <c r="N328" s="13">
        <f t="shared" si="55"/>
        <v>5.21E-2</v>
      </c>
    </row>
    <row r="329" spans="1:14" x14ac:dyDescent="0.25">
      <c r="A329" s="1365">
        <v>0.11</v>
      </c>
      <c r="B329">
        <v>4.4863263259478696E-2</v>
      </c>
      <c r="C329" s="13">
        <v>2.971096078499311E-2</v>
      </c>
      <c r="D329" s="1375">
        <v>5.4100000000000002E-2</v>
      </c>
      <c r="E329" s="1375">
        <v>2.5000000000000001E-2</v>
      </c>
      <c r="F329">
        <v>5.4100000000000002E-2</v>
      </c>
      <c r="G329">
        <v>2.5000000000000001E-2</v>
      </c>
      <c r="H329">
        <v>4.4299999999999999E-2</v>
      </c>
      <c r="I329" s="1366">
        <v>3.0200000000000001E-2</v>
      </c>
      <c r="J329">
        <v>3.4000000000000002E-2</v>
      </c>
      <c r="K329">
        <v>3.4674004213223496E-2</v>
      </c>
      <c r="L329">
        <v>3.2218953847716954E-2</v>
      </c>
      <c r="M329">
        <v>2.590383356597202E-2</v>
      </c>
      <c r="N329" s="13">
        <f t="shared" si="55"/>
        <v>5.4100000000000002E-2</v>
      </c>
    </row>
    <row r="330" spans="1:14" x14ac:dyDescent="0.25">
      <c r="A330" s="1365">
        <v>0.12</v>
      </c>
      <c r="B330">
        <v>4.5719348755567525E-2</v>
      </c>
      <c r="C330" s="13">
        <v>3.0565965717981106E-2</v>
      </c>
      <c r="D330" s="1375">
        <v>5.4699999999999999E-2</v>
      </c>
      <c r="E330" s="1375">
        <v>2.5999999999999999E-2</v>
      </c>
      <c r="F330">
        <v>5.4699999999999999E-2</v>
      </c>
      <c r="G330">
        <v>2.5999999999999999E-2</v>
      </c>
      <c r="H330">
        <v>4.4400000000000002E-2</v>
      </c>
      <c r="I330" s="1366">
        <v>3.1E-2</v>
      </c>
      <c r="J330">
        <v>3.5000000000000003E-2</v>
      </c>
      <c r="K330">
        <v>3.5052174222263928E-2</v>
      </c>
      <c r="L330">
        <v>3.2905113045535214E-2</v>
      </c>
      <c r="M330">
        <v>2.6294700696430161E-2</v>
      </c>
      <c r="N330" s="13">
        <f t="shared" si="55"/>
        <v>5.4699999999999999E-2</v>
      </c>
    </row>
    <row r="331" spans="1:14" x14ac:dyDescent="0.25">
      <c r="A331" s="1365">
        <v>0.13</v>
      </c>
      <c r="B331">
        <v>4.6285677247981348E-2</v>
      </c>
      <c r="C331" s="13">
        <v>3.0756745241400155E-2</v>
      </c>
      <c r="D331" s="1375">
        <v>5.5500000000000001E-2</v>
      </c>
      <c r="E331" s="1375">
        <v>2.5999999999999999E-2</v>
      </c>
      <c r="F331">
        <v>5.5500000000000001E-2</v>
      </c>
      <c r="G331">
        <v>2.5999999999999999E-2</v>
      </c>
      <c r="H331">
        <v>4.53E-2</v>
      </c>
      <c r="I331" s="1366">
        <v>3.1600000000000003E-2</v>
      </c>
      <c r="J331">
        <v>3.5000000000000003E-2</v>
      </c>
      <c r="K331">
        <v>3.5337369600673907E-2</v>
      </c>
      <c r="L331">
        <v>3.3572476703404387E-2</v>
      </c>
      <c r="M331">
        <v>2.6295780421798573E-2</v>
      </c>
      <c r="N331" s="13">
        <f t="shared" si="55"/>
        <v>5.5500000000000001E-2</v>
      </c>
    </row>
    <row r="332" spans="1:14" x14ac:dyDescent="0.25">
      <c r="A332" s="1365">
        <v>0.14000000000000001</v>
      </c>
      <c r="B332">
        <v>4.6550109410928089E-2</v>
      </c>
      <c r="C332" s="13">
        <v>3.0958224698536672E-2</v>
      </c>
      <c r="D332" s="1375">
        <v>5.6099999999999997E-2</v>
      </c>
      <c r="E332" s="1375">
        <v>2.5999999999999999E-2</v>
      </c>
      <c r="F332">
        <v>5.6099999999999997E-2</v>
      </c>
      <c r="G332">
        <v>2.5999999999999999E-2</v>
      </c>
      <c r="H332">
        <v>4.5900000000000003E-2</v>
      </c>
      <c r="I332" s="1366">
        <v>3.2099999999999997E-2</v>
      </c>
      <c r="J332">
        <v>3.5999999999999997E-2</v>
      </c>
      <c r="K332">
        <v>3.5608689661467866E-2</v>
      </c>
      <c r="L332">
        <v>3.4034637831913919E-2</v>
      </c>
      <c r="M332">
        <v>2.6514430924318363E-2</v>
      </c>
      <c r="N332" s="13">
        <f t="shared" si="55"/>
        <v>5.6099999999999997E-2</v>
      </c>
    </row>
    <row r="333" spans="1:14" x14ac:dyDescent="0.25">
      <c r="A333" s="1365">
        <v>0.15</v>
      </c>
      <c r="B333">
        <v>4.6641748549768151E-2</v>
      </c>
      <c r="C333" s="13">
        <v>3.1072906134311074E-2</v>
      </c>
      <c r="D333" s="1375">
        <v>5.6099999999999997E-2</v>
      </c>
      <c r="E333" s="1375">
        <v>2.5999999999999999E-2</v>
      </c>
      <c r="F333">
        <v>5.6099999999999997E-2</v>
      </c>
      <c r="G333">
        <v>2.5999999999999999E-2</v>
      </c>
      <c r="H333">
        <v>4.5999999999999999E-2</v>
      </c>
      <c r="I333" s="1366">
        <v>3.2300000000000002E-2</v>
      </c>
      <c r="J333">
        <v>3.5999999999999997E-2</v>
      </c>
      <c r="K333">
        <v>3.5755190623575295E-2</v>
      </c>
      <c r="L333">
        <v>3.4212915869210443E-2</v>
      </c>
      <c r="M333">
        <v>2.6520801497923803E-2</v>
      </c>
      <c r="N333" s="13">
        <f t="shared" si="55"/>
        <v>5.6099999999999997E-2</v>
      </c>
    </row>
    <row r="334" spans="1:14" x14ac:dyDescent="0.25">
      <c r="A334" s="1365">
        <v>0.16</v>
      </c>
      <c r="B334">
        <v>4.6778639963027391E-2</v>
      </c>
      <c r="C334" s="13">
        <v>3.1447117368756494E-2</v>
      </c>
      <c r="D334" s="1375">
        <v>5.7299999999999997E-2</v>
      </c>
      <c r="E334" s="1375">
        <v>2.7E-2</v>
      </c>
      <c r="F334">
        <v>5.7299999999999997E-2</v>
      </c>
      <c r="G334">
        <v>2.7E-2</v>
      </c>
      <c r="H334">
        <v>4.6399999999999997E-2</v>
      </c>
      <c r="I334" s="1366">
        <v>3.3099999999999997E-2</v>
      </c>
      <c r="J334">
        <v>3.5999999999999997E-2</v>
      </c>
      <c r="K334">
        <v>3.6260211071831104E-2</v>
      </c>
      <c r="L334">
        <v>3.4758160545606286E-2</v>
      </c>
      <c r="M334">
        <v>2.6749737429961468E-2</v>
      </c>
      <c r="N334" s="13">
        <f t="shared" si="55"/>
        <v>5.7299999999999997E-2</v>
      </c>
    </row>
    <row r="335" spans="1:14" x14ac:dyDescent="0.25">
      <c r="A335" s="1365">
        <v>0.17</v>
      </c>
      <c r="B335">
        <v>4.7184805234955843E-2</v>
      </c>
      <c r="C335" s="13">
        <v>3.2023409571562668E-2</v>
      </c>
      <c r="D335" s="1375">
        <v>5.8599999999999999E-2</v>
      </c>
      <c r="E335" s="1375">
        <v>2.7E-2</v>
      </c>
      <c r="F335">
        <v>5.8599999999999999E-2</v>
      </c>
      <c r="G335">
        <v>2.7E-2</v>
      </c>
      <c r="H335">
        <v>4.65E-2</v>
      </c>
      <c r="I335" s="1366">
        <v>3.3799999999999997E-2</v>
      </c>
      <c r="J335">
        <v>3.5999999999999997E-2</v>
      </c>
      <c r="K335">
        <v>3.641620552976596E-2</v>
      </c>
      <c r="L335">
        <v>3.5227795129316175E-2</v>
      </c>
      <c r="M335">
        <v>2.7761189746955007E-2</v>
      </c>
      <c r="N335" s="13">
        <f t="shared" si="55"/>
        <v>5.8599999999999999E-2</v>
      </c>
    </row>
    <row r="336" spans="1:14" x14ac:dyDescent="0.25">
      <c r="A336" s="1365">
        <v>0.18</v>
      </c>
      <c r="B336">
        <v>4.7726020623430974E-2</v>
      </c>
      <c r="C336" s="13">
        <v>3.2435849370547228E-2</v>
      </c>
      <c r="D336" s="1375">
        <v>5.9400000000000001E-2</v>
      </c>
      <c r="E336" s="1375">
        <v>2.8000000000000001E-2</v>
      </c>
      <c r="F336">
        <v>5.9400000000000001E-2</v>
      </c>
      <c r="G336">
        <v>2.8000000000000001E-2</v>
      </c>
      <c r="H336">
        <v>4.6800000000000001E-2</v>
      </c>
      <c r="I336" s="1366">
        <v>3.4599999999999999E-2</v>
      </c>
      <c r="J336">
        <v>3.6999999999999998E-2</v>
      </c>
      <c r="K336">
        <v>3.6831501594811709E-2</v>
      </c>
      <c r="L336">
        <v>3.5766281805465018E-2</v>
      </c>
      <c r="M336">
        <v>2.7864222906225949E-2</v>
      </c>
      <c r="N336" s="13">
        <f t="shared" si="55"/>
        <v>5.9400000000000001E-2</v>
      </c>
    </row>
    <row r="337" spans="1:14" x14ac:dyDescent="0.25">
      <c r="A337" s="1365">
        <v>0.19</v>
      </c>
      <c r="B337">
        <v>4.8207417613442244E-2</v>
      </c>
      <c r="C337" s="13">
        <v>3.2617914082032656E-2</v>
      </c>
      <c r="D337" s="1375">
        <v>6.0199999999999997E-2</v>
      </c>
      <c r="E337" s="1375">
        <v>2.8000000000000001E-2</v>
      </c>
      <c r="F337">
        <v>6.0199999999999997E-2</v>
      </c>
      <c r="G337">
        <v>2.8000000000000001E-2</v>
      </c>
      <c r="H337">
        <v>4.7899999999999998E-2</v>
      </c>
      <c r="I337" s="1366">
        <v>3.4799999999999998E-2</v>
      </c>
      <c r="J337">
        <v>3.6999999999999998E-2</v>
      </c>
      <c r="K337">
        <v>3.7079642188684654E-2</v>
      </c>
      <c r="L337">
        <v>3.6069323213373812E-2</v>
      </c>
      <c r="M337">
        <v>2.800237213113629E-2</v>
      </c>
      <c r="N337" s="13">
        <f t="shared" si="55"/>
        <v>6.0199999999999997E-2</v>
      </c>
    </row>
    <row r="338" spans="1:14" x14ac:dyDescent="0.25">
      <c r="A338" s="1365">
        <v>0.2</v>
      </c>
      <c r="B338">
        <v>4.9057389662254675E-2</v>
      </c>
      <c r="C338" s="13">
        <v>3.2922766976607364E-2</v>
      </c>
      <c r="D338" s="1375">
        <v>6.0699999999999997E-2</v>
      </c>
      <c r="E338" s="1375">
        <v>2.8000000000000001E-2</v>
      </c>
      <c r="F338">
        <v>6.0699999999999997E-2</v>
      </c>
      <c r="G338">
        <v>2.8000000000000001E-2</v>
      </c>
      <c r="H338">
        <v>4.87E-2</v>
      </c>
      <c r="I338" s="1366">
        <v>3.5299999999999998E-2</v>
      </c>
      <c r="J338">
        <v>3.7999999999999999E-2</v>
      </c>
      <c r="K338">
        <v>3.7483150362418109E-2</v>
      </c>
      <c r="L338">
        <v>3.6666850769269045E-2</v>
      </c>
      <c r="M338">
        <v>2.8907372995198393E-2</v>
      </c>
      <c r="N338" s="13">
        <f t="shared" si="55"/>
        <v>6.0699999999999997E-2</v>
      </c>
    </row>
    <row r="339" spans="1:14" x14ac:dyDescent="0.25">
      <c r="A339" s="1365">
        <v>0.21</v>
      </c>
      <c r="B339">
        <v>4.9686212088958993E-2</v>
      </c>
      <c r="C339" s="13">
        <v>3.3159730219366405E-2</v>
      </c>
      <c r="D339" s="1375">
        <v>6.1100000000000002E-2</v>
      </c>
      <c r="E339" s="1375">
        <v>2.8000000000000001E-2</v>
      </c>
      <c r="F339">
        <v>6.1100000000000002E-2</v>
      </c>
      <c r="G339">
        <v>2.8000000000000001E-2</v>
      </c>
      <c r="H339">
        <v>4.9099999999999998E-2</v>
      </c>
      <c r="I339" s="1366">
        <v>3.56E-2</v>
      </c>
      <c r="J339">
        <v>3.7999999999999999E-2</v>
      </c>
      <c r="K339">
        <v>3.7978657859237278E-2</v>
      </c>
      <c r="L339">
        <v>3.7106043470988892E-2</v>
      </c>
      <c r="M339">
        <v>2.8966580642229827E-2</v>
      </c>
      <c r="N339" s="13">
        <f t="shared" si="55"/>
        <v>6.1100000000000002E-2</v>
      </c>
    </row>
    <row r="340" spans="1:14" x14ac:dyDescent="0.25">
      <c r="A340" s="1365">
        <v>0.22</v>
      </c>
      <c r="B340">
        <v>5.0347901290045072E-2</v>
      </c>
      <c r="C340" s="13">
        <v>3.3422410989305325E-2</v>
      </c>
      <c r="D340" s="1375">
        <v>6.1899999999999997E-2</v>
      </c>
      <c r="E340" s="1375">
        <v>2.9000000000000001E-2</v>
      </c>
      <c r="F340">
        <v>6.1899999999999997E-2</v>
      </c>
      <c r="G340">
        <v>2.9000000000000001E-2</v>
      </c>
      <c r="H340">
        <v>4.9500000000000002E-2</v>
      </c>
      <c r="I340" s="1366">
        <v>3.5999999999999997E-2</v>
      </c>
      <c r="J340">
        <v>3.9E-2</v>
      </c>
      <c r="K340">
        <v>3.8666908775230095E-2</v>
      </c>
      <c r="L340">
        <v>3.755995441111868E-2</v>
      </c>
      <c r="M340">
        <v>2.9476696173953872E-2</v>
      </c>
      <c r="N340" s="13">
        <f t="shared" si="55"/>
        <v>6.1899999999999997E-2</v>
      </c>
    </row>
    <row r="341" spans="1:14" x14ac:dyDescent="0.25">
      <c r="A341" s="1365">
        <v>0.23</v>
      </c>
      <c r="B341">
        <v>5.1113189498898218E-2</v>
      </c>
      <c r="C341" s="13">
        <v>3.3923069253708381E-2</v>
      </c>
      <c r="D341" s="1375">
        <v>6.2799999999999995E-2</v>
      </c>
      <c r="E341" s="1375">
        <v>2.9000000000000001E-2</v>
      </c>
      <c r="F341">
        <v>6.2799999999999995E-2</v>
      </c>
      <c r="G341">
        <v>2.9000000000000001E-2</v>
      </c>
      <c r="H341">
        <v>4.9799999999999997E-2</v>
      </c>
      <c r="I341" s="1366">
        <v>3.6900000000000002E-2</v>
      </c>
      <c r="J341">
        <v>3.9E-2</v>
      </c>
      <c r="K341">
        <v>3.9049198176728347E-2</v>
      </c>
      <c r="L341">
        <v>3.8016413038457542E-2</v>
      </c>
      <c r="M341">
        <v>3.1579992383025536E-2</v>
      </c>
      <c r="N341" s="13">
        <f t="shared" si="55"/>
        <v>6.2799999999999995E-2</v>
      </c>
    </row>
    <row r="342" spans="1:14" x14ac:dyDescent="0.25">
      <c r="A342" s="1365">
        <v>0.24</v>
      </c>
      <c r="B342">
        <v>5.1774274989533228E-2</v>
      </c>
      <c r="C342" s="13">
        <v>3.4093511912313162E-2</v>
      </c>
      <c r="D342" s="1375">
        <v>6.3E-2</v>
      </c>
      <c r="E342" s="1375">
        <v>0.03</v>
      </c>
      <c r="F342">
        <v>6.3E-2</v>
      </c>
      <c r="G342">
        <v>0.03</v>
      </c>
      <c r="H342">
        <v>5.0799999999999998E-2</v>
      </c>
      <c r="I342" s="1366">
        <v>3.7199999999999997E-2</v>
      </c>
      <c r="J342">
        <v>0.04</v>
      </c>
      <c r="K342">
        <v>3.9107691401299285E-2</v>
      </c>
      <c r="L342">
        <v>3.8457563433527436E-2</v>
      </c>
      <c r="M342">
        <v>3.1593529757394101E-2</v>
      </c>
      <c r="N342" s="13">
        <f t="shared" si="55"/>
        <v>6.3E-2</v>
      </c>
    </row>
    <row r="343" spans="1:14" x14ac:dyDescent="0.25">
      <c r="A343" s="1365">
        <v>0.25</v>
      </c>
      <c r="B343">
        <v>5.2292564093619327E-2</v>
      </c>
      <c r="C343" s="13">
        <v>3.4397966331648253E-2</v>
      </c>
      <c r="D343" s="1375">
        <v>6.3500000000000001E-2</v>
      </c>
      <c r="E343" s="1375">
        <v>0.03</v>
      </c>
      <c r="F343">
        <v>6.3500000000000001E-2</v>
      </c>
      <c r="G343">
        <v>0.03</v>
      </c>
      <c r="H343">
        <v>5.0999999999999997E-2</v>
      </c>
      <c r="I343" s="1366">
        <v>3.7199999999999997E-2</v>
      </c>
      <c r="J343">
        <v>0.04</v>
      </c>
      <c r="K343">
        <v>3.9628760039039479E-2</v>
      </c>
      <c r="L343">
        <v>3.887682497146306E-2</v>
      </c>
      <c r="M343">
        <v>3.3572476703404387E-2</v>
      </c>
      <c r="N343" s="13">
        <f t="shared" si="55"/>
        <v>6.3500000000000001E-2</v>
      </c>
    </row>
    <row r="344" spans="1:14" x14ac:dyDescent="0.25">
      <c r="A344" s="1365">
        <v>0.26</v>
      </c>
      <c r="B344">
        <v>5.2598689770024999E-2</v>
      </c>
      <c r="C344" s="13">
        <v>3.4794599690973704E-2</v>
      </c>
      <c r="D344" s="1375">
        <v>6.3799999999999996E-2</v>
      </c>
      <c r="E344" s="1375">
        <v>3.3000000000000002E-2</v>
      </c>
      <c r="F344">
        <v>6.3799999999999996E-2</v>
      </c>
      <c r="G344">
        <v>3.3000000000000002E-2</v>
      </c>
      <c r="H344">
        <v>5.11E-2</v>
      </c>
      <c r="I344" s="1366">
        <v>3.7600000000000001E-2</v>
      </c>
      <c r="J344">
        <v>0.04</v>
      </c>
      <c r="K344">
        <v>3.9788428541651759E-2</v>
      </c>
      <c r="L344">
        <v>3.9194587711591546E-2</v>
      </c>
      <c r="M344">
        <v>3.3593014650897646E-2</v>
      </c>
      <c r="N344" s="13">
        <f t="shared" si="55"/>
        <v>6.3799999999999996E-2</v>
      </c>
    </row>
    <row r="345" spans="1:14" x14ac:dyDescent="0.25">
      <c r="A345" s="1365">
        <v>0.27</v>
      </c>
      <c r="B345">
        <v>5.2912662441862379E-2</v>
      </c>
      <c r="C345" s="13">
        <v>3.4941793649629009E-2</v>
      </c>
      <c r="D345" s="1375">
        <v>6.3799999999999996E-2</v>
      </c>
      <c r="E345" s="1375">
        <v>3.3000000000000002E-2</v>
      </c>
      <c r="F345">
        <v>6.3799999999999996E-2</v>
      </c>
      <c r="G345">
        <v>3.3000000000000002E-2</v>
      </c>
      <c r="H345">
        <v>5.1200000000000002E-2</v>
      </c>
      <c r="I345" s="1366">
        <v>3.8199999999999998E-2</v>
      </c>
      <c r="J345">
        <v>0.04</v>
      </c>
      <c r="K345">
        <v>3.9980255750964644E-2</v>
      </c>
      <c r="L345">
        <v>3.9564478483652604E-2</v>
      </c>
      <c r="M345">
        <v>3.5795143436248691E-2</v>
      </c>
      <c r="N345" s="13">
        <f t="shared" si="55"/>
        <v>6.3799999999999996E-2</v>
      </c>
    </row>
    <row r="346" spans="1:14" x14ac:dyDescent="0.25">
      <c r="A346" s="1365">
        <v>0.28000000000000003</v>
      </c>
      <c r="B346">
        <v>5.3228519281984216E-2</v>
      </c>
      <c r="C346" s="13">
        <v>3.5771846237205508E-2</v>
      </c>
      <c r="D346" s="1375">
        <v>6.4100000000000004E-2</v>
      </c>
      <c r="E346" s="1375">
        <v>3.3000000000000002E-2</v>
      </c>
      <c r="F346">
        <v>6.4100000000000004E-2</v>
      </c>
      <c r="G346">
        <v>3.3000000000000002E-2</v>
      </c>
      <c r="H346">
        <v>5.2299999999999999E-2</v>
      </c>
      <c r="I346" s="1366">
        <v>3.8399999999999997E-2</v>
      </c>
      <c r="J346">
        <v>4.1000000000000002E-2</v>
      </c>
      <c r="K346">
        <v>4.0484495616973183E-2</v>
      </c>
      <c r="L346">
        <v>4.0094885570126845E-2</v>
      </c>
      <c r="M346">
        <v>3.8238644855010093E-2</v>
      </c>
      <c r="N346" s="13">
        <f t="shared" si="55"/>
        <v>6.4100000000000004E-2</v>
      </c>
    </row>
    <row r="347" spans="1:14" x14ac:dyDescent="0.25">
      <c r="A347" s="1365">
        <v>0.28999999999999998</v>
      </c>
      <c r="B347">
        <v>5.3478846996483392E-2</v>
      </c>
      <c r="C347" s="13">
        <v>3.7278747406081107E-2</v>
      </c>
      <c r="D347" s="1375">
        <v>6.4600000000000005E-2</v>
      </c>
      <c r="E347" s="1375">
        <v>3.3000000000000002E-2</v>
      </c>
      <c r="F347">
        <v>6.4600000000000005E-2</v>
      </c>
      <c r="G347">
        <v>3.3000000000000002E-2</v>
      </c>
      <c r="H347">
        <v>5.2400000000000002E-2</v>
      </c>
      <c r="I347" s="1366">
        <v>3.8399999999999997E-2</v>
      </c>
      <c r="J347">
        <v>4.1000000000000002E-2</v>
      </c>
      <c r="K347">
        <v>4.0579373601313813E-2</v>
      </c>
      <c r="L347">
        <v>4.0476582309473229E-2</v>
      </c>
      <c r="M347">
        <v>4.0753662375161565E-2</v>
      </c>
      <c r="N347" s="13">
        <f t="shared" si="55"/>
        <v>6.4600000000000005E-2</v>
      </c>
    </row>
    <row r="348" spans="1:14" x14ac:dyDescent="0.25">
      <c r="A348" s="1365">
        <v>0.3</v>
      </c>
      <c r="B348">
        <v>5.3961291927271469E-2</v>
      </c>
      <c r="C348" s="13">
        <v>3.7631904695425565E-2</v>
      </c>
      <c r="D348" s="1375">
        <v>6.4799999999999996E-2</v>
      </c>
      <c r="E348" s="1375">
        <v>3.4000000000000002E-2</v>
      </c>
      <c r="F348">
        <v>6.4799999999999996E-2</v>
      </c>
      <c r="G348">
        <v>3.4000000000000002E-2</v>
      </c>
      <c r="H348">
        <v>5.2499999999999998E-2</v>
      </c>
      <c r="I348" s="1366">
        <v>3.8600000000000002E-2</v>
      </c>
      <c r="J348">
        <v>4.1000000000000002E-2</v>
      </c>
      <c r="K348">
        <v>4.0911046009596198E-2</v>
      </c>
      <c r="L348">
        <v>4.0753662375161565E-2</v>
      </c>
      <c r="M348">
        <v>4.1290784964519607E-2</v>
      </c>
      <c r="N348" s="13">
        <f t="shared" si="55"/>
        <v>6.4799999999999996E-2</v>
      </c>
    </row>
    <row r="349" spans="1:14" x14ac:dyDescent="0.25">
      <c r="A349" s="1365">
        <v>0.31</v>
      </c>
      <c r="B349">
        <v>5.4439127142429926E-2</v>
      </c>
      <c r="C349" s="13">
        <v>3.8136982536051911E-2</v>
      </c>
      <c r="D349" s="1375">
        <v>6.4899999999999999E-2</v>
      </c>
      <c r="E349" s="1375">
        <v>3.4000000000000002E-2</v>
      </c>
      <c r="F349">
        <v>6.4899999999999999E-2</v>
      </c>
      <c r="G349">
        <v>3.4000000000000002E-2</v>
      </c>
      <c r="H349">
        <v>5.2600000000000001E-2</v>
      </c>
      <c r="I349" s="1366">
        <v>3.8800000000000001E-2</v>
      </c>
      <c r="J349">
        <v>4.1000000000000002E-2</v>
      </c>
      <c r="K349">
        <v>4.1093455863445705E-2</v>
      </c>
      <c r="L349">
        <v>4.1127522812238276E-2</v>
      </c>
      <c r="M349">
        <v>4.1774207939250775E-2</v>
      </c>
      <c r="N349" s="13">
        <f t="shared" si="55"/>
        <v>6.4899999999999999E-2</v>
      </c>
    </row>
    <row r="350" spans="1:14" x14ac:dyDescent="0.25">
      <c r="A350" s="1365">
        <v>0.32</v>
      </c>
      <c r="B350">
        <v>5.4849449028207244E-2</v>
      </c>
      <c r="C350" s="13">
        <v>3.8435016350281126E-2</v>
      </c>
      <c r="D350" s="1375">
        <v>6.5299999999999997E-2</v>
      </c>
      <c r="E350" s="1375">
        <v>3.5999999999999997E-2</v>
      </c>
      <c r="F350">
        <v>6.5299999999999997E-2</v>
      </c>
      <c r="G350">
        <v>3.5999999999999997E-2</v>
      </c>
      <c r="H350">
        <v>5.3199999999999997E-2</v>
      </c>
      <c r="I350" s="1366">
        <v>3.9199999999999999E-2</v>
      </c>
      <c r="J350">
        <v>4.2000000000000003E-2</v>
      </c>
      <c r="K350">
        <v>4.1804775621237113E-2</v>
      </c>
      <c r="L350">
        <v>4.1607471781933796E-2</v>
      </c>
      <c r="M350">
        <v>4.2656848100384046E-2</v>
      </c>
      <c r="N350" s="13">
        <f t="shared" si="55"/>
        <v>6.5299999999999997E-2</v>
      </c>
    </row>
    <row r="351" spans="1:14" x14ac:dyDescent="0.25">
      <c r="A351" s="1365">
        <v>0.33</v>
      </c>
      <c r="B351">
        <v>5.5287441329522902E-2</v>
      </c>
      <c r="C351" s="13">
        <v>3.9178654212413525E-2</v>
      </c>
      <c r="D351" s="1375">
        <v>6.5500000000000003E-2</v>
      </c>
      <c r="E351" s="1375">
        <v>3.5999999999999997E-2</v>
      </c>
      <c r="F351">
        <v>6.5500000000000003E-2</v>
      </c>
      <c r="G351">
        <v>3.5999999999999997E-2</v>
      </c>
      <c r="H351">
        <v>5.3699999999999998E-2</v>
      </c>
      <c r="I351" s="1366">
        <v>3.9800000000000002E-2</v>
      </c>
      <c r="J351">
        <v>4.2000000000000003E-2</v>
      </c>
      <c r="K351">
        <v>4.216285653138048E-2</v>
      </c>
      <c r="L351">
        <v>4.1851591825251014E-2</v>
      </c>
      <c r="M351">
        <v>4.2770512184671969E-2</v>
      </c>
      <c r="N351" s="13">
        <f t="shared" si="55"/>
        <v>6.5500000000000003E-2</v>
      </c>
    </row>
    <row r="352" spans="1:14" x14ac:dyDescent="0.25">
      <c r="A352" s="1365">
        <v>0.34</v>
      </c>
      <c r="B352">
        <v>5.5534668714628282E-2</v>
      </c>
      <c r="C352" s="13">
        <v>3.9579277284946729E-2</v>
      </c>
      <c r="D352" s="1375">
        <v>6.5699999999999995E-2</v>
      </c>
      <c r="E352" s="1375">
        <v>3.6999999999999998E-2</v>
      </c>
      <c r="F352">
        <v>6.5699999999999995E-2</v>
      </c>
      <c r="G352">
        <v>3.6999999999999998E-2</v>
      </c>
      <c r="H352">
        <v>5.3800000000000001E-2</v>
      </c>
      <c r="I352" s="1366">
        <v>4.0300000000000002E-2</v>
      </c>
      <c r="J352">
        <v>4.2999999999999997E-2</v>
      </c>
      <c r="K352">
        <v>4.2258803742832904E-2</v>
      </c>
      <c r="L352">
        <v>4.2436908224832426E-2</v>
      </c>
      <c r="M352">
        <v>4.4554897571313888E-2</v>
      </c>
      <c r="N352" s="13">
        <f t="shared" si="55"/>
        <v>6.5699999999999995E-2</v>
      </c>
    </row>
    <row r="353" spans="1:14" x14ac:dyDescent="0.25">
      <c r="A353" s="1365">
        <v>0.35</v>
      </c>
      <c r="B353">
        <v>5.561264473604266E-2</v>
      </c>
      <c r="C353" s="13">
        <v>3.9765526657987542E-2</v>
      </c>
      <c r="D353" s="1375">
        <v>6.6000000000000003E-2</v>
      </c>
      <c r="E353" s="1375">
        <v>3.6999999999999998E-2</v>
      </c>
      <c r="F353">
        <v>6.6000000000000003E-2</v>
      </c>
      <c r="G353">
        <v>3.6999999999999998E-2</v>
      </c>
      <c r="H353">
        <v>5.3999999999999999E-2</v>
      </c>
      <c r="I353" s="1366">
        <v>4.0399999999999998E-2</v>
      </c>
      <c r="J353">
        <v>4.2999999999999997E-2</v>
      </c>
      <c r="K353">
        <v>4.245010641192392E-2</v>
      </c>
      <c r="L353">
        <v>4.2670963346650777E-2</v>
      </c>
      <c r="M353">
        <v>4.5634153631916904E-2</v>
      </c>
      <c r="N353" s="13">
        <f t="shared" si="55"/>
        <v>6.6000000000000003E-2</v>
      </c>
    </row>
    <row r="354" spans="1:14" x14ac:dyDescent="0.25">
      <c r="A354" s="1365">
        <v>0.36</v>
      </c>
      <c r="B354">
        <v>5.5754940328876228E-2</v>
      </c>
      <c r="C354" s="13">
        <v>4.0172014343707978E-2</v>
      </c>
      <c r="D354" s="1375">
        <v>6.6299999999999998E-2</v>
      </c>
      <c r="E354" s="1375">
        <v>3.7999999999999999E-2</v>
      </c>
      <c r="F354">
        <v>6.6299999999999998E-2</v>
      </c>
      <c r="G354">
        <v>3.7999999999999999E-2</v>
      </c>
      <c r="H354">
        <v>5.4100000000000002E-2</v>
      </c>
      <c r="I354" s="1366">
        <v>4.0500000000000001E-2</v>
      </c>
      <c r="J354">
        <v>4.2999999999999997E-2</v>
      </c>
      <c r="K354">
        <v>4.273267352646639E-2</v>
      </c>
      <c r="L354">
        <v>4.3076476087492641E-2</v>
      </c>
      <c r="M354">
        <v>4.5678971580426074E-2</v>
      </c>
      <c r="N354" s="13">
        <f t="shared" si="55"/>
        <v>6.6299999999999998E-2</v>
      </c>
    </row>
    <row r="355" spans="1:14" x14ac:dyDescent="0.25">
      <c r="A355" s="1365">
        <v>0.37</v>
      </c>
      <c r="B355">
        <v>5.5997734644881121E-2</v>
      </c>
      <c r="C355" s="13">
        <v>4.0212858809124924E-2</v>
      </c>
      <c r="D355" s="1375">
        <v>6.6400000000000001E-2</v>
      </c>
      <c r="E355" s="1375">
        <v>3.7999999999999999E-2</v>
      </c>
      <c r="F355">
        <v>6.6400000000000001E-2</v>
      </c>
      <c r="G355">
        <v>3.7999999999999999E-2</v>
      </c>
      <c r="H355">
        <v>5.4899999999999997E-2</v>
      </c>
      <c r="I355" s="1366">
        <v>4.0800000000000003E-2</v>
      </c>
      <c r="J355">
        <v>4.2999999999999997E-2</v>
      </c>
      <c r="K355">
        <v>4.3056487929111473E-2</v>
      </c>
      <c r="L355">
        <v>4.327874524995106E-2</v>
      </c>
      <c r="M355">
        <v>4.6123186148185537E-2</v>
      </c>
      <c r="N355" s="13">
        <f t="shared" si="55"/>
        <v>6.6400000000000001E-2</v>
      </c>
    </row>
    <row r="356" spans="1:14" x14ac:dyDescent="0.25">
      <c r="A356" s="1365">
        <v>0.38</v>
      </c>
      <c r="B356">
        <v>5.6197444051001577E-2</v>
      </c>
      <c r="C356" s="13">
        <v>4.0363803656989668E-2</v>
      </c>
      <c r="D356" s="1375">
        <v>6.6699999999999995E-2</v>
      </c>
      <c r="E356" s="1375">
        <v>3.9E-2</v>
      </c>
      <c r="F356">
        <v>6.6699999999999995E-2</v>
      </c>
      <c r="G356">
        <v>3.9E-2</v>
      </c>
      <c r="H356">
        <v>5.5800000000000002E-2</v>
      </c>
      <c r="I356" s="1366">
        <v>4.0899999999999999E-2</v>
      </c>
      <c r="J356">
        <v>4.3999999999999997E-2</v>
      </c>
      <c r="K356">
        <v>4.3549928939586167E-2</v>
      </c>
      <c r="L356">
        <v>4.3532821795503142E-2</v>
      </c>
      <c r="M356">
        <v>4.6207746703393553E-2</v>
      </c>
      <c r="N356" s="13">
        <f t="shared" si="55"/>
        <v>6.6699999999999995E-2</v>
      </c>
    </row>
    <row r="357" spans="1:14" x14ac:dyDescent="0.25">
      <c r="A357" s="1365">
        <v>0.39</v>
      </c>
      <c r="B357">
        <v>5.6308726898548003E-2</v>
      </c>
      <c r="C357" s="13">
        <v>4.0760809534507017E-2</v>
      </c>
      <c r="D357" s="1375">
        <v>6.7100000000000007E-2</v>
      </c>
      <c r="E357" s="1375">
        <v>3.9E-2</v>
      </c>
      <c r="F357">
        <v>6.7100000000000007E-2</v>
      </c>
      <c r="G357">
        <v>3.9E-2</v>
      </c>
      <c r="H357">
        <v>5.67E-2</v>
      </c>
      <c r="I357" s="1366">
        <v>4.1099999999999998E-2</v>
      </c>
      <c r="J357">
        <v>4.3999999999999997E-2</v>
      </c>
      <c r="K357">
        <v>4.3700325322565389E-2</v>
      </c>
      <c r="L357">
        <v>4.4055641520667745E-2</v>
      </c>
      <c r="M357">
        <v>5.0555060206744905E-2</v>
      </c>
      <c r="N357" s="13">
        <f t="shared" si="55"/>
        <v>6.7100000000000007E-2</v>
      </c>
    </row>
    <row r="358" spans="1:14" x14ac:dyDescent="0.25">
      <c r="A358" s="1365">
        <v>0.4</v>
      </c>
      <c r="B358">
        <v>5.6642315892142289E-2</v>
      </c>
      <c r="C358" s="13">
        <v>4.102512390016546E-2</v>
      </c>
      <c r="D358" s="1375">
        <v>6.7699999999999996E-2</v>
      </c>
      <c r="E358" s="1375">
        <v>0.04</v>
      </c>
      <c r="F358">
        <v>6.7699999999999996E-2</v>
      </c>
      <c r="G358">
        <v>0.04</v>
      </c>
      <c r="H358">
        <v>5.6899999999999999E-2</v>
      </c>
      <c r="I358" s="1366">
        <v>4.2000000000000003E-2</v>
      </c>
      <c r="J358">
        <v>4.4999999999999998E-2</v>
      </c>
      <c r="K358">
        <v>4.4339630492690713E-2</v>
      </c>
      <c r="L358">
        <v>4.4335774116182121E-2</v>
      </c>
      <c r="M358">
        <v>5.0995807852568312E-2</v>
      </c>
      <c r="N358" s="13">
        <f t="shared" si="55"/>
        <v>6.7699999999999996E-2</v>
      </c>
    </row>
    <row r="359" spans="1:14" x14ac:dyDescent="0.25">
      <c r="A359" s="1365">
        <v>0.41</v>
      </c>
      <c r="B359">
        <v>5.7127078126693404E-2</v>
      </c>
      <c r="C359" s="13">
        <v>4.1156234290507611E-2</v>
      </c>
      <c r="D359" s="1375">
        <v>6.8000000000000005E-2</v>
      </c>
      <c r="E359" s="1375">
        <v>0.04</v>
      </c>
      <c r="F359">
        <v>6.8000000000000005E-2</v>
      </c>
      <c r="G359">
        <v>0.04</v>
      </c>
      <c r="H359">
        <v>5.7099999999999998E-2</v>
      </c>
      <c r="I359" s="1366">
        <v>4.2099999999999999E-2</v>
      </c>
      <c r="J359">
        <v>4.4999999999999998E-2</v>
      </c>
      <c r="K359">
        <v>4.4437806569712787E-2</v>
      </c>
      <c r="L359">
        <v>4.4601467341110659E-2</v>
      </c>
      <c r="M359">
        <v>5.1942761844122609E-2</v>
      </c>
      <c r="N359" s="13">
        <f t="shared" si="55"/>
        <v>6.8000000000000005E-2</v>
      </c>
    </row>
    <row r="360" spans="1:14" x14ac:dyDescent="0.25">
      <c r="A360" s="1365">
        <v>0.42</v>
      </c>
      <c r="B360">
        <v>5.7391119680696039E-2</v>
      </c>
      <c r="C360" s="13">
        <v>4.115889700791845E-2</v>
      </c>
      <c r="D360" s="1375">
        <v>6.8400000000000002E-2</v>
      </c>
      <c r="E360" s="1375">
        <v>0.04</v>
      </c>
      <c r="F360">
        <v>6.8400000000000002E-2</v>
      </c>
      <c r="G360">
        <v>0.04</v>
      </c>
      <c r="H360">
        <v>5.7299999999999997E-2</v>
      </c>
      <c r="I360" s="1366">
        <v>4.2200000000000001E-2</v>
      </c>
      <c r="J360">
        <v>4.4999999999999998E-2</v>
      </c>
      <c r="K360">
        <v>4.4850196500406149E-2</v>
      </c>
      <c r="L360">
        <v>4.4941791588474049E-2</v>
      </c>
      <c r="M360">
        <v>5.4801262898611071E-2</v>
      </c>
      <c r="N360" s="13">
        <f t="shared" si="55"/>
        <v>6.8400000000000002E-2</v>
      </c>
    </row>
    <row r="361" spans="1:14" x14ac:dyDescent="0.25">
      <c r="A361" s="1365">
        <v>0.43</v>
      </c>
      <c r="B361">
        <v>5.7567274185278329E-2</v>
      </c>
      <c r="C361" s="13">
        <v>4.1165806979662371E-2</v>
      </c>
      <c r="D361" s="1375">
        <v>6.8699999999999997E-2</v>
      </c>
      <c r="E361" s="1375">
        <v>0.04</v>
      </c>
      <c r="F361">
        <v>6.8699999999999997E-2</v>
      </c>
      <c r="G361">
        <v>0.04</v>
      </c>
      <c r="H361">
        <v>5.7599999999999998E-2</v>
      </c>
      <c r="I361" s="1366">
        <v>4.2200000000000001E-2</v>
      </c>
      <c r="J361">
        <v>4.4999999999999998E-2</v>
      </c>
      <c r="K361">
        <v>4.5318758325262096E-2</v>
      </c>
      <c r="L361">
        <v>4.5076892082045183E-2</v>
      </c>
      <c r="M361">
        <v>5.4952712079263319E-2</v>
      </c>
      <c r="N361" s="13">
        <f t="shared" si="55"/>
        <v>6.8699999999999997E-2</v>
      </c>
    </row>
    <row r="362" spans="1:14" x14ac:dyDescent="0.25">
      <c r="A362" s="1365">
        <v>0.44</v>
      </c>
      <c r="B362">
        <v>5.7571052519687013E-2</v>
      </c>
      <c r="C362" s="13">
        <v>4.2109516990048459E-2</v>
      </c>
      <c r="D362" s="1375">
        <v>6.88E-2</v>
      </c>
      <c r="E362" s="1375">
        <v>4.1000000000000002E-2</v>
      </c>
      <c r="F362">
        <v>6.88E-2</v>
      </c>
      <c r="G362">
        <v>4.1000000000000002E-2</v>
      </c>
      <c r="H362">
        <v>5.8299999999999998E-2</v>
      </c>
      <c r="I362" s="1366">
        <v>4.24E-2</v>
      </c>
      <c r="J362">
        <v>4.5999999999999999E-2</v>
      </c>
      <c r="K362">
        <v>4.6103028903866618E-2</v>
      </c>
      <c r="L362">
        <v>4.5400319789394794E-2</v>
      </c>
      <c r="M362">
        <v>5.5362740191373071E-2</v>
      </c>
      <c r="N362" s="13">
        <f t="shared" si="55"/>
        <v>6.88E-2</v>
      </c>
    </row>
    <row r="363" spans="1:14" x14ac:dyDescent="0.25">
      <c r="A363" s="1365">
        <v>0.45</v>
      </c>
      <c r="B363">
        <v>5.7574113088448689E-2</v>
      </c>
      <c r="C363" s="13">
        <v>4.2379840939049576E-2</v>
      </c>
      <c r="D363" s="1375">
        <v>6.9000000000000006E-2</v>
      </c>
      <c r="E363" s="1375">
        <v>4.1000000000000002E-2</v>
      </c>
      <c r="F363">
        <v>6.9000000000000006E-2</v>
      </c>
      <c r="G363">
        <v>4.1000000000000002E-2</v>
      </c>
      <c r="H363">
        <v>5.8500000000000003E-2</v>
      </c>
      <c r="I363" s="1366">
        <v>4.2599999999999999E-2</v>
      </c>
      <c r="J363">
        <v>4.5999999999999999E-2</v>
      </c>
      <c r="K363">
        <v>4.6425783207989103E-2</v>
      </c>
      <c r="L363">
        <v>4.552464342935203E-2</v>
      </c>
      <c r="M363">
        <v>5.6032662001165315E-2</v>
      </c>
      <c r="N363" s="13">
        <f t="shared" si="55"/>
        <v>6.9000000000000006E-2</v>
      </c>
    </row>
    <row r="364" spans="1:14" x14ac:dyDescent="0.25">
      <c r="A364" s="1365">
        <v>0.46</v>
      </c>
      <c r="B364">
        <v>5.775367982221901E-2</v>
      </c>
      <c r="C364" s="13">
        <v>4.3208382905026828E-2</v>
      </c>
      <c r="D364" s="1375">
        <v>6.9199999999999998E-2</v>
      </c>
      <c r="E364" s="1375">
        <v>4.1000000000000002E-2</v>
      </c>
      <c r="F364">
        <v>6.9199999999999998E-2</v>
      </c>
      <c r="G364">
        <v>4.1000000000000002E-2</v>
      </c>
      <c r="H364">
        <v>5.8700000000000002E-2</v>
      </c>
      <c r="I364" s="1366">
        <v>4.2700000000000002E-2</v>
      </c>
      <c r="J364">
        <v>4.5999999999999999E-2</v>
      </c>
      <c r="K364">
        <v>4.6819325477103962E-2</v>
      </c>
      <c r="L364">
        <v>4.5680036515335087E-2</v>
      </c>
      <c r="M364">
        <v>5.6323619326136248E-2</v>
      </c>
      <c r="N364" s="13">
        <f t="shared" si="55"/>
        <v>6.9199999999999998E-2</v>
      </c>
    </row>
    <row r="365" spans="1:14" x14ac:dyDescent="0.25">
      <c r="A365" s="1365">
        <v>0.47</v>
      </c>
      <c r="B365">
        <v>5.7932809081582048E-2</v>
      </c>
      <c r="C365" s="13">
        <v>4.3214194755505801E-2</v>
      </c>
      <c r="D365" s="1375">
        <v>6.93E-2</v>
      </c>
      <c r="E365" s="1375">
        <v>4.1000000000000002E-2</v>
      </c>
      <c r="F365">
        <v>6.93E-2</v>
      </c>
      <c r="G365">
        <v>4.1000000000000002E-2</v>
      </c>
      <c r="H365">
        <v>5.9200000000000003E-2</v>
      </c>
      <c r="I365" s="1366">
        <v>4.3700000000000003E-2</v>
      </c>
      <c r="J365">
        <v>4.5999999999999999E-2</v>
      </c>
      <c r="K365">
        <v>4.720140568206193E-2</v>
      </c>
      <c r="L365">
        <v>4.5945411854587857E-2</v>
      </c>
      <c r="M365">
        <v>5.6554541189981752E-2</v>
      </c>
      <c r="N365" s="13">
        <f t="shared" si="55"/>
        <v>6.93E-2</v>
      </c>
    </row>
    <row r="366" spans="1:14" x14ac:dyDescent="0.25">
      <c r="A366" s="1365">
        <v>0.48</v>
      </c>
      <c r="B366">
        <v>5.8339217872693874E-2</v>
      </c>
      <c r="C366" s="13">
        <v>4.3608220790383977E-2</v>
      </c>
      <c r="D366" s="1375">
        <v>6.9800000000000001E-2</v>
      </c>
      <c r="E366" s="1375">
        <v>4.2999999999999997E-2</v>
      </c>
      <c r="F366">
        <v>6.9800000000000001E-2</v>
      </c>
      <c r="G366">
        <v>4.2999999999999997E-2</v>
      </c>
      <c r="H366">
        <v>5.96E-2</v>
      </c>
      <c r="I366" s="1366">
        <v>4.41E-2</v>
      </c>
      <c r="J366">
        <v>4.7E-2</v>
      </c>
      <c r="K366">
        <v>4.8325778394428073E-2</v>
      </c>
      <c r="L366">
        <v>4.6103918067686829E-2</v>
      </c>
      <c r="M366">
        <v>5.7878439908588014E-2</v>
      </c>
      <c r="N366" s="13">
        <f t="shared" si="55"/>
        <v>6.9800000000000001E-2</v>
      </c>
    </row>
    <row r="367" spans="1:14" x14ac:dyDescent="0.25">
      <c r="A367" s="1365">
        <v>0.49</v>
      </c>
      <c r="B367">
        <v>5.8661194698531163E-2</v>
      </c>
      <c r="C367" s="13">
        <v>4.4130006405636961E-2</v>
      </c>
      <c r="D367" s="1375">
        <v>6.9900000000000004E-2</v>
      </c>
      <c r="E367" s="1375">
        <v>4.2999999999999997E-2</v>
      </c>
      <c r="F367">
        <v>6.9900000000000004E-2</v>
      </c>
      <c r="G367">
        <v>4.2999999999999997E-2</v>
      </c>
      <c r="H367">
        <v>6.0299999999999999E-2</v>
      </c>
      <c r="I367" s="1366">
        <v>4.41E-2</v>
      </c>
      <c r="J367">
        <v>4.7E-2</v>
      </c>
      <c r="K367">
        <v>4.8971365668857118E-2</v>
      </c>
      <c r="L367">
        <v>4.6300394365783884E-2</v>
      </c>
      <c r="M367">
        <v>5.8004271381822202E-2</v>
      </c>
      <c r="N367" s="13">
        <f t="shared" si="55"/>
        <v>6.9900000000000004E-2</v>
      </c>
    </row>
    <row r="368" spans="1:14" x14ac:dyDescent="0.25">
      <c r="A368" s="1365">
        <v>0.5</v>
      </c>
      <c r="B368">
        <v>5.8960142652305807E-2</v>
      </c>
      <c r="C368" s="13">
        <v>4.4395062382433181E-2</v>
      </c>
      <c r="D368" s="1375">
        <v>7.0300000000000001E-2</v>
      </c>
      <c r="E368" s="1375">
        <v>4.3999999999999997E-2</v>
      </c>
      <c r="F368">
        <v>7.0300000000000001E-2</v>
      </c>
      <c r="G368">
        <v>4.3999999999999997E-2</v>
      </c>
      <c r="H368">
        <v>6.08E-2</v>
      </c>
      <c r="I368" s="1366">
        <v>4.4400000000000002E-2</v>
      </c>
      <c r="J368">
        <v>4.8000000000000001E-2</v>
      </c>
      <c r="K368">
        <v>4.9159785865213551E-2</v>
      </c>
      <c r="L368">
        <v>4.661593978471619E-2</v>
      </c>
      <c r="M368">
        <v>5.8671090076835457E-2</v>
      </c>
      <c r="N368" s="13">
        <f t="shared" si="55"/>
        <v>7.0300000000000001E-2</v>
      </c>
    </row>
    <row r="369" spans="1:14" x14ac:dyDescent="0.25">
      <c r="A369" s="1365">
        <v>0.51</v>
      </c>
      <c r="B369">
        <v>5.9520430823536266E-2</v>
      </c>
      <c r="C369" s="13">
        <v>4.4577121685262698E-2</v>
      </c>
      <c r="D369" s="1375">
        <v>7.0999999999999994E-2</v>
      </c>
      <c r="E369" s="1375">
        <v>4.3999999999999997E-2</v>
      </c>
      <c r="F369">
        <v>7.0999999999999994E-2</v>
      </c>
      <c r="G369">
        <v>4.3999999999999997E-2</v>
      </c>
      <c r="H369">
        <v>6.0900000000000003E-2</v>
      </c>
      <c r="I369" s="1366">
        <v>4.4699999999999997E-2</v>
      </c>
      <c r="J369">
        <v>4.8000000000000001E-2</v>
      </c>
      <c r="K369">
        <v>4.9647937327404482E-2</v>
      </c>
      <c r="L369">
        <v>4.6875999708278472E-2</v>
      </c>
      <c r="M369">
        <v>5.8957147505657601E-2</v>
      </c>
      <c r="N369" s="13">
        <f t="shared" si="55"/>
        <v>7.0999999999999994E-2</v>
      </c>
    </row>
    <row r="370" spans="1:14" x14ac:dyDescent="0.25">
      <c r="A370" s="1365">
        <v>0.52</v>
      </c>
      <c r="B370">
        <v>6.0218858919723318E-2</v>
      </c>
      <c r="C370" s="13">
        <v>4.4647293012378519E-2</v>
      </c>
      <c r="D370" s="1375">
        <v>7.1599999999999997E-2</v>
      </c>
      <c r="E370" s="1375">
        <v>4.3999999999999997E-2</v>
      </c>
      <c r="F370">
        <v>7.1599999999999997E-2</v>
      </c>
      <c r="G370">
        <v>4.3999999999999997E-2</v>
      </c>
      <c r="H370">
        <v>6.0999999999999999E-2</v>
      </c>
      <c r="I370" s="1366">
        <v>4.4900000000000002E-2</v>
      </c>
      <c r="J370">
        <v>4.8000000000000001E-2</v>
      </c>
      <c r="K370">
        <v>4.9923497351742271E-2</v>
      </c>
      <c r="L370">
        <v>4.7089476207817262E-2</v>
      </c>
      <c r="M370">
        <v>5.9745937139401108E-2</v>
      </c>
      <c r="N370" s="13">
        <f t="shared" si="55"/>
        <v>7.1599999999999997E-2</v>
      </c>
    </row>
    <row r="371" spans="1:14" x14ac:dyDescent="0.25">
      <c r="A371" s="1365">
        <v>0.53</v>
      </c>
      <c r="B371">
        <v>6.0666853588835681E-2</v>
      </c>
      <c r="C371" s="13">
        <v>4.4655299665020749E-2</v>
      </c>
      <c r="D371" s="1375">
        <v>7.17E-2</v>
      </c>
      <c r="E371" s="1375">
        <v>4.3999999999999997E-2</v>
      </c>
      <c r="F371">
        <v>7.17E-2</v>
      </c>
      <c r="G371">
        <v>4.3999999999999997E-2</v>
      </c>
      <c r="H371">
        <v>6.1199999999999997E-2</v>
      </c>
      <c r="I371" s="1366">
        <v>4.5900000000000003E-2</v>
      </c>
      <c r="J371">
        <v>4.8000000000000001E-2</v>
      </c>
      <c r="K371">
        <v>5.0608974665993005E-2</v>
      </c>
      <c r="L371">
        <v>4.7258780664003006E-2</v>
      </c>
      <c r="M371">
        <v>6.0431660492920009E-2</v>
      </c>
      <c r="N371" s="13">
        <f t="shared" si="55"/>
        <v>7.17E-2</v>
      </c>
    </row>
    <row r="372" spans="1:14" x14ac:dyDescent="0.25">
      <c r="A372" s="1365">
        <v>0.54</v>
      </c>
      <c r="B372">
        <v>6.1191620832270782E-2</v>
      </c>
      <c r="C372" s="13">
        <v>4.4695146110560441E-2</v>
      </c>
      <c r="D372" s="1375">
        <v>7.17E-2</v>
      </c>
      <c r="E372" s="1375">
        <v>4.5999999999999999E-2</v>
      </c>
      <c r="F372">
        <v>7.17E-2</v>
      </c>
      <c r="G372">
        <v>4.5999999999999999E-2</v>
      </c>
      <c r="H372">
        <v>6.1400000000000003E-2</v>
      </c>
      <c r="I372" s="1366">
        <v>4.7199999999999999E-2</v>
      </c>
      <c r="J372">
        <v>4.9000000000000002E-2</v>
      </c>
      <c r="K372">
        <v>5.120708096025791E-2</v>
      </c>
      <c r="L372">
        <v>4.7543652950089277E-2</v>
      </c>
      <c r="M372">
        <v>6.1741082624414044E-2</v>
      </c>
      <c r="N372" s="13">
        <f t="shared" si="55"/>
        <v>7.17E-2</v>
      </c>
    </row>
    <row r="373" spans="1:14" x14ac:dyDescent="0.25">
      <c r="A373" s="1365">
        <v>0.55000000000000004</v>
      </c>
      <c r="B373">
        <v>6.139158981977081E-2</v>
      </c>
      <c r="C373" s="13">
        <v>4.4772338776247145E-2</v>
      </c>
      <c r="D373" s="1375">
        <v>7.1800000000000003E-2</v>
      </c>
      <c r="E373" s="1375">
        <v>4.5999999999999999E-2</v>
      </c>
      <c r="F373">
        <v>7.1800000000000003E-2</v>
      </c>
      <c r="G373">
        <v>4.5999999999999999E-2</v>
      </c>
      <c r="H373">
        <v>6.1499999999999999E-2</v>
      </c>
      <c r="I373" s="1366">
        <v>4.7500000000000001E-2</v>
      </c>
      <c r="J373">
        <v>4.9000000000000002E-2</v>
      </c>
      <c r="K373">
        <v>5.1440264568808375E-2</v>
      </c>
      <c r="L373">
        <v>4.7930185142225606E-2</v>
      </c>
      <c r="M373">
        <v>6.2631785911313992E-2</v>
      </c>
      <c r="N373" s="13">
        <f t="shared" si="55"/>
        <v>7.1800000000000003E-2</v>
      </c>
    </row>
    <row r="374" spans="1:14" x14ac:dyDescent="0.25">
      <c r="A374" s="1365">
        <v>0.56000000000000005</v>
      </c>
      <c r="B374">
        <v>6.1407912731072684E-2</v>
      </c>
      <c r="C374" s="13">
        <v>4.485605648592516E-2</v>
      </c>
      <c r="D374" s="1375">
        <v>7.1900000000000006E-2</v>
      </c>
      <c r="E374" s="1375">
        <v>4.7E-2</v>
      </c>
      <c r="F374">
        <v>7.1900000000000006E-2</v>
      </c>
      <c r="G374">
        <v>4.7E-2</v>
      </c>
      <c r="H374">
        <v>6.3E-2</v>
      </c>
      <c r="I374" s="1366">
        <v>4.7899999999999998E-2</v>
      </c>
      <c r="J374">
        <v>4.9000000000000002E-2</v>
      </c>
      <c r="K374">
        <v>5.1640091495170189E-2</v>
      </c>
      <c r="L374">
        <v>4.8211349348980227E-2</v>
      </c>
      <c r="M374">
        <v>6.2745760822370031E-2</v>
      </c>
      <c r="N374" s="13">
        <f t="shared" si="55"/>
        <v>7.1900000000000006E-2</v>
      </c>
    </row>
    <row r="375" spans="1:14" x14ac:dyDescent="0.25">
      <c r="A375" s="1365">
        <v>0.56999999999999995</v>
      </c>
      <c r="B375">
        <v>6.1543464421818739E-2</v>
      </c>
      <c r="C375" s="13">
        <v>4.4915693023690681E-2</v>
      </c>
      <c r="D375" s="1375">
        <v>7.2099999999999997E-2</v>
      </c>
      <c r="E375" s="1375">
        <v>4.7E-2</v>
      </c>
      <c r="F375">
        <v>7.2099999999999997E-2</v>
      </c>
      <c r="G375">
        <v>4.7E-2</v>
      </c>
      <c r="H375">
        <v>6.4000000000000001E-2</v>
      </c>
      <c r="I375" s="1366">
        <v>4.8399999999999999E-2</v>
      </c>
      <c r="J375">
        <v>4.9000000000000002E-2</v>
      </c>
      <c r="K375">
        <v>5.2222131036174416E-2</v>
      </c>
      <c r="L375">
        <v>4.8480368156562974E-2</v>
      </c>
      <c r="M375">
        <v>6.2873979175326875E-2</v>
      </c>
      <c r="N375" s="13">
        <f t="shared" si="55"/>
        <v>7.2099999999999997E-2</v>
      </c>
    </row>
    <row r="376" spans="1:14" x14ac:dyDescent="0.25">
      <c r="A376" s="1365">
        <v>0.57999999999999996</v>
      </c>
      <c r="B376">
        <v>6.1774205666006818E-2</v>
      </c>
      <c r="C376" s="13">
        <v>4.5183164504347624E-2</v>
      </c>
      <c r="D376" s="1375">
        <v>7.22E-2</v>
      </c>
      <c r="E376" s="1375">
        <v>4.9000000000000002E-2</v>
      </c>
      <c r="F376">
        <v>7.22E-2</v>
      </c>
      <c r="G376">
        <v>4.9000000000000002E-2</v>
      </c>
      <c r="H376">
        <v>6.4199999999999993E-2</v>
      </c>
      <c r="I376" s="1366">
        <v>4.9299999999999997E-2</v>
      </c>
      <c r="J376">
        <v>0.05</v>
      </c>
      <c r="K376">
        <v>5.2591713345789042E-2</v>
      </c>
      <c r="L376">
        <v>4.8688566350089557E-2</v>
      </c>
      <c r="M376">
        <v>6.3164423709506132E-2</v>
      </c>
      <c r="N376" s="13">
        <f t="shared" si="55"/>
        <v>7.22E-2</v>
      </c>
    </row>
    <row r="377" spans="1:14" x14ac:dyDescent="0.25">
      <c r="A377" s="1365">
        <v>0.59</v>
      </c>
      <c r="B377">
        <v>6.1939915575577528E-2</v>
      </c>
      <c r="C377" s="13">
        <v>4.5327024871906374E-2</v>
      </c>
      <c r="D377" s="1375">
        <v>7.2400000000000006E-2</v>
      </c>
      <c r="E377" s="1375">
        <v>4.9000000000000002E-2</v>
      </c>
      <c r="F377">
        <v>7.2400000000000006E-2</v>
      </c>
      <c r="G377">
        <v>4.9000000000000002E-2</v>
      </c>
      <c r="H377">
        <v>6.4399999999999999E-2</v>
      </c>
      <c r="I377" s="1366">
        <v>4.9500000000000002E-2</v>
      </c>
      <c r="J377">
        <v>0.05</v>
      </c>
      <c r="K377">
        <v>5.2734236125703791E-2</v>
      </c>
      <c r="L377">
        <v>4.9002214274632451E-2</v>
      </c>
      <c r="M377">
        <v>6.393230774965751E-2</v>
      </c>
      <c r="N377" s="13">
        <f t="shared" si="55"/>
        <v>7.2400000000000006E-2</v>
      </c>
    </row>
    <row r="378" spans="1:14" x14ac:dyDescent="0.25">
      <c r="A378" s="1365">
        <v>0.6</v>
      </c>
      <c r="B378">
        <v>6.1993925758270528E-2</v>
      </c>
      <c r="C378" s="13">
        <v>4.6004072971367903E-2</v>
      </c>
      <c r="D378" s="1375">
        <v>7.2800000000000004E-2</v>
      </c>
      <c r="E378" s="1375">
        <v>5.0999999999999997E-2</v>
      </c>
      <c r="F378">
        <v>7.2800000000000004E-2</v>
      </c>
      <c r="G378">
        <v>5.0999999999999997E-2</v>
      </c>
      <c r="H378">
        <v>6.5100000000000005E-2</v>
      </c>
      <c r="I378" s="1366">
        <v>4.9799999999999997E-2</v>
      </c>
      <c r="J378">
        <v>0.05</v>
      </c>
      <c r="K378">
        <v>5.3002351874441272E-2</v>
      </c>
      <c r="L378">
        <v>4.9139402258445763E-2</v>
      </c>
      <c r="M378">
        <v>6.4932030300165144E-2</v>
      </c>
      <c r="N378" s="13">
        <f t="shared" si="55"/>
        <v>7.2800000000000004E-2</v>
      </c>
    </row>
    <row r="379" spans="1:14" x14ac:dyDescent="0.25">
      <c r="A379" s="1365">
        <v>0.61</v>
      </c>
      <c r="B379">
        <v>6.2186384156759367E-2</v>
      </c>
      <c r="C379" s="13">
        <v>4.643708771103619E-2</v>
      </c>
      <c r="D379" s="1375">
        <v>7.2900000000000006E-2</v>
      </c>
      <c r="E379" s="1375">
        <v>5.0999999999999997E-2</v>
      </c>
      <c r="F379">
        <v>7.2900000000000006E-2</v>
      </c>
      <c r="G379">
        <v>5.0999999999999997E-2</v>
      </c>
      <c r="H379">
        <v>6.5600000000000006E-2</v>
      </c>
      <c r="I379" s="1366">
        <v>5.0599999999999999E-2</v>
      </c>
      <c r="J379">
        <v>0.05</v>
      </c>
      <c r="K379">
        <v>5.3444681264741375E-2</v>
      </c>
      <c r="L379">
        <v>4.9278026878497777E-2</v>
      </c>
      <c r="M379">
        <v>6.5821140333275116E-2</v>
      </c>
      <c r="N379" s="13">
        <f t="shared" si="55"/>
        <v>7.2900000000000006E-2</v>
      </c>
    </row>
    <row r="380" spans="1:14" x14ac:dyDescent="0.25">
      <c r="A380" s="1365">
        <v>0.62</v>
      </c>
      <c r="B380">
        <v>6.2342440006238967E-2</v>
      </c>
      <c r="C380" s="13">
        <v>4.721545298680447E-2</v>
      </c>
      <c r="D380" s="1375">
        <v>7.2999999999999995E-2</v>
      </c>
      <c r="E380" s="1375">
        <v>5.2999999999999999E-2</v>
      </c>
      <c r="F380">
        <v>7.2999999999999995E-2</v>
      </c>
      <c r="G380">
        <v>5.2999999999999999E-2</v>
      </c>
      <c r="H380">
        <v>6.5699999999999995E-2</v>
      </c>
      <c r="I380" s="1366">
        <v>5.0999999999999997E-2</v>
      </c>
      <c r="J380">
        <v>5.0999999999999997E-2</v>
      </c>
      <c r="K380">
        <v>5.3932821134279017E-2</v>
      </c>
      <c r="L380">
        <v>4.9379313217307638E-2</v>
      </c>
      <c r="M380">
        <v>6.5855203170441107E-2</v>
      </c>
      <c r="N380" s="13">
        <f t="shared" si="55"/>
        <v>7.2999999999999995E-2</v>
      </c>
    </row>
    <row r="381" spans="1:14" x14ac:dyDescent="0.25">
      <c r="A381" s="1365">
        <v>0.63</v>
      </c>
      <c r="B381">
        <v>6.2927239737997201E-2</v>
      </c>
      <c r="C381" s="13">
        <v>4.7767938300883571E-2</v>
      </c>
      <c r="D381" s="1375">
        <v>7.2999999999999995E-2</v>
      </c>
      <c r="E381" s="1375">
        <v>5.2999999999999999E-2</v>
      </c>
      <c r="F381">
        <v>7.2999999999999995E-2</v>
      </c>
      <c r="G381">
        <v>5.2999999999999999E-2</v>
      </c>
      <c r="H381">
        <v>6.6000000000000003E-2</v>
      </c>
      <c r="I381" s="1366">
        <v>5.0999999999999997E-2</v>
      </c>
      <c r="J381">
        <v>5.0999999999999997E-2</v>
      </c>
      <c r="K381">
        <v>5.501210284829066E-2</v>
      </c>
      <c r="L381">
        <v>4.9620269072410704E-2</v>
      </c>
      <c r="M381">
        <v>6.6075300813832116E-2</v>
      </c>
      <c r="N381" s="13">
        <f t="shared" si="55"/>
        <v>7.2999999999999995E-2</v>
      </c>
    </row>
    <row r="382" spans="1:14" x14ac:dyDescent="0.25">
      <c r="A382" s="1365">
        <v>0.64</v>
      </c>
      <c r="B382">
        <v>6.3524055637014659E-2</v>
      </c>
      <c r="C382" s="13">
        <v>4.8749942978221862E-2</v>
      </c>
      <c r="D382" s="1375">
        <v>7.3200000000000001E-2</v>
      </c>
      <c r="E382" s="1375">
        <v>5.3999999999999999E-2</v>
      </c>
      <c r="F382">
        <v>7.3200000000000001E-2</v>
      </c>
      <c r="G382">
        <v>5.3999999999999999E-2</v>
      </c>
      <c r="H382">
        <v>6.6299999999999998E-2</v>
      </c>
      <c r="I382" s="1366">
        <v>5.1799999999999999E-2</v>
      </c>
      <c r="J382">
        <v>5.0999999999999997E-2</v>
      </c>
      <c r="K382">
        <v>5.5090844069738375E-2</v>
      </c>
      <c r="L382">
        <v>4.9944075691687739E-2</v>
      </c>
      <c r="M382">
        <v>6.6206959795761453E-2</v>
      </c>
      <c r="N382" s="13">
        <f t="shared" si="55"/>
        <v>7.3200000000000001E-2</v>
      </c>
    </row>
    <row r="383" spans="1:14" x14ac:dyDescent="0.25">
      <c r="A383" s="1365">
        <v>0.65</v>
      </c>
      <c r="B383">
        <v>6.4042588961187405E-2</v>
      </c>
      <c r="C383" s="13">
        <v>4.9264909847434118E-2</v>
      </c>
      <c r="D383" s="1375">
        <v>7.3300000000000004E-2</v>
      </c>
      <c r="E383" s="1375">
        <v>5.3999999999999999E-2</v>
      </c>
      <c r="F383">
        <v>7.3300000000000004E-2</v>
      </c>
      <c r="G383">
        <v>5.3999999999999999E-2</v>
      </c>
      <c r="H383">
        <v>6.7000000000000004E-2</v>
      </c>
      <c r="I383" s="1366">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7.3300000000000004E-2</v>
      </c>
    </row>
    <row r="384" spans="1:14" x14ac:dyDescent="0.25">
      <c r="A384" s="1365">
        <v>0.66</v>
      </c>
      <c r="B384">
        <v>6.4491099443865982E-2</v>
      </c>
      <c r="C384" s="13">
        <v>5.1366090075788372E-2</v>
      </c>
      <c r="D384" s="1375">
        <v>7.3499999999999996E-2</v>
      </c>
      <c r="E384" s="1375">
        <v>5.7000000000000002E-2</v>
      </c>
      <c r="F384">
        <v>7.3499999999999996E-2</v>
      </c>
      <c r="G384">
        <v>5.7000000000000002E-2</v>
      </c>
      <c r="H384">
        <v>6.7699999999999996E-2</v>
      </c>
      <c r="I384" s="1366">
        <v>5.3100000000000001E-2</v>
      </c>
      <c r="J384">
        <v>5.1999999999999998E-2</v>
      </c>
      <c r="K384">
        <v>5.5680815247002101E-2</v>
      </c>
      <c r="L384">
        <v>5.0320782820311612E-2</v>
      </c>
      <c r="M384">
        <v>6.7013514848077022E-2</v>
      </c>
      <c r="N384" s="13">
        <f t="shared" si="56"/>
        <v>7.3499999999999996E-2</v>
      </c>
    </row>
    <row r="385" spans="1:14" x14ac:dyDescent="0.25">
      <c r="A385" s="1365">
        <v>0.67</v>
      </c>
      <c r="B385">
        <v>6.5234279720903815E-2</v>
      </c>
      <c r="C385" s="13">
        <v>5.1740699531236715E-2</v>
      </c>
      <c r="D385" s="1375">
        <v>7.3700000000000002E-2</v>
      </c>
      <c r="E385" s="1375">
        <v>5.7000000000000002E-2</v>
      </c>
      <c r="F385">
        <v>7.3700000000000002E-2</v>
      </c>
      <c r="G385">
        <v>5.7000000000000002E-2</v>
      </c>
      <c r="H385">
        <v>6.8599999999999994E-2</v>
      </c>
      <c r="I385" s="1366">
        <v>5.4600000000000003E-2</v>
      </c>
      <c r="J385">
        <v>5.1999999999999998E-2</v>
      </c>
      <c r="K385">
        <v>5.631454841069513E-2</v>
      </c>
      <c r="L385">
        <v>5.0494028524765339E-2</v>
      </c>
      <c r="M385">
        <v>6.8112732248104421E-2</v>
      </c>
      <c r="N385" s="13">
        <f t="shared" si="56"/>
        <v>7.3700000000000002E-2</v>
      </c>
    </row>
    <row r="386" spans="1:14" x14ac:dyDescent="0.25">
      <c r="A386" s="1365">
        <v>0.68</v>
      </c>
      <c r="B386">
        <v>6.5386091365572191E-2</v>
      </c>
      <c r="C386" s="13">
        <v>5.1947832896599502E-2</v>
      </c>
      <c r="D386" s="1375">
        <v>7.3899999999999993E-2</v>
      </c>
      <c r="E386" s="1375">
        <v>5.8999999999999997E-2</v>
      </c>
      <c r="F386">
        <v>7.3899999999999993E-2</v>
      </c>
      <c r="G386">
        <v>5.8999999999999997E-2</v>
      </c>
      <c r="H386">
        <v>6.88E-2</v>
      </c>
      <c r="I386" s="1366">
        <v>5.4699999999999999E-2</v>
      </c>
      <c r="J386">
        <v>5.2999999999999999E-2</v>
      </c>
      <c r="K386">
        <v>5.705805026188461E-2</v>
      </c>
      <c r="L386">
        <v>5.094950879199947E-2</v>
      </c>
      <c r="M386">
        <v>6.8223173672242274E-2</v>
      </c>
      <c r="N386" s="13">
        <f t="shared" si="56"/>
        <v>7.3899999999999993E-2</v>
      </c>
    </row>
    <row r="387" spans="1:14" x14ac:dyDescent="0.25">
      <c r="A387" s="1365">
        <v>0.69</v>
      </c>
      <c r="B387">
        <v>6.5537903010240553E-2</v>
      </c>
      <c r="C387" s="13">
        <v>5.2330278152719546E-2</v>
      </c>
      <c r="D387" s="1375">
        <v>7.3999999999999996E-2</v>
      </c>
      <c r="E387" s="1375">
        <v>5.8999999999999997E-2</v>
      </c>
      <c r="F387">
        <v>7.3999999999999996E-2</v>
      </c>
      <c r="G387">
        <v>5.8999999999999997E-2</v>
      </c>
      <c r="H387">
        <v>6.88E-2</v>
      </c>
      <c r="I387" s="1366">
        <v>5.4899999999999997E-2</v>
      </c>
      <c r="J387">
        <v>5.2999999999999999E-2</v>
      </c>
      <c r="K387">
        <v>5.7464238769413575E-2</v>
      </c>
      <c r="L387">
        <v>5.1093692540879081E-2</v>
      </c>
      <c r="M387">
        <v>6.8932254391764813E-2</v>
      </c>
      <c r="N387" s="13">
        <f t="shared" si="56"/>
        <v>7.3999999999999996E-2</v>
      </c>
    </row>
    <row r="388" spans="1:14" x14ac:dyDescent="0.25">
      <c r="A388" s="1365">
        <v>0.7</v>
      </c>
      <c r="B388">
        <v>6.5834444712891113E-2</v>
      </c>
      <c r="C388" s="13">
        <v>5.2747100214346788E-2</v>
      </c>
      <c r="D388" s="1375">
        <v>7.4300000000000005E-2</v>
      </c>
      <c r="E388" s="1375">
        <v>6.0999999999999999E-2</v>
      </c>
      <c r="F388">
        <v>7.4300000000000005E-2</v>
      </c>
      <c r="G388">
        <v>6.0999999999999999E-2</v>
      </c>
      <c r="H388">
        <v>6.8900000000000003E-2</v>
      </c>
      <c r="I388" s="1366">
        <v>5.5E-2</v>
      </c>
      <c r="J388">
        <v>5.3999999999999999E-2</v>
      </c>
      <c r="K388">
        <v>5.799673931818327E-2</v>
      </c>
      <c r="L388">
        <v>5.1386316891839562E-2</v>
      </c>
      <c r="M388">
        <v>6.900667799206181E-2</v>
      </c>
      <c r="N388" s="13">
        <f t="shared" si="56"/>
        <v>7.4300000000000005E-2</v>
      </c>
    </row>
    <row r="389" spans="1:14" x14ac:dyDescent="0.25">
      <c r="A389" s="1365">
        <v>0.71</v>
      </c>
      <c r="B389">
        <v>6.6309411042600838E-2</v>
      </c>
      <c r="C389" s="13">
        <v>5.3171041567899015E-2</v>
      </c>
      <c r="D389" s="1375">
        <v>7.4499999999999997E-2</v>
      </c>
      <c r="E389" s="1375">
        <v>6.0999999999999999E-2</v>
      </c>
      <c r="F389">
        <v>7.4499999999999997E-2</v>
      </c>
      <c r="G389">
        <v>6.0999999999999999E-2</v>
      </c>
      <c r="H389">
        <v>6.9099999999999995E-2</v>
      </c>
      <c r="I389" s="1366">
        <v>5.6800000000000003E-2</v>
      </c>
      <c r="J389">
        <v>5.3999999999999999E-2</v>
      </c>
      <c r="K389">
        <v>5.8497074522364301E-2</v>
      </c>
      <c r="L389">
        <v>5.1657496644722613E-2</v>
      </c>
      <c r="M389">
        <v>7.015111425968748E-2</v>
      </c>
      <c r="N389" s="13">
        <f t="shared" si="56"/>
        <v>7.4499999999999997E-2</v>
      </c>
    </row>
    <row r="390" spans="1:14" x14ac:dyDescent="0.25">
      <c r="A390" s="1365">
        <v>0.72</v>
      </c>
      <c r="B390">
        <v>6.6807676162080318E-2</v>
      </c>
      <c r="C390" s="13">
        <v>5.4215956848340449E-2</v>
      </c>
      <c r="D390" s="1375">
        <v>7.4700000000000003E-2</v>
      </c>
      <c r="E390" s="1375">
        <v>6.5000000000000002E-2</v>
      </c>
      <c r="F390">
        <v>7.4700000000000003E-2</v>
      </c>
      <c r="G390">
        <v>6.5000000000000002E-2</v>
      </c>
      <c r="H390">
        <v>6.9699999999999998E-2</v>
      </c>
      <c r="I390" s="1366">
        <v>5.7200000000000001E-2</v>
      </c>
      <c r="J390">
        <v>5.3999999999999999E-2</v>
      </c>
      <c r="K390">
        <v>5.8785530283369025E-2</v>
      </c>
      <c r="L390">
        <v>5.1791677382411382E-2</v>
      </c>
      <c r="M390">
        <v>7.0151968223423303E-2</v>
      </c>
      <c r="N390" s="13">
        <f t="shared" si="56"/>
        <v>7.4700000000000003E-2</v>
      </c>
    </row>
    <row r="391" spans="1:14" x14ac:dyDescent="0.25">
      <c r="A391" s="1365">
        <v>0.73</v>
      </c>
      <c r="B391">
        <v>6.7263026243719229E-2</v>
      </c>
      <c r="C391" s="13">
        <v>5.4737022242585198E-2</v>
      </c>
      <c r="D391" s="1375">
        <v>7.4899999999999994E-2</v>
      </c>
      <c r="E391" s="1375">
        <v>6.5000000000000002E-2</v>
      </c>
      <c r="F391">
        <v>7.4899999999999994E-2</v>
      </c>
      <c r="G391">
        <v>6.5000000000000002E-2</v>
      </c>
      <c r="H391">
        <v>6.9800000000000001E-2</v>
      </c>
      <c r="I391" s="1366">
        <v>5.7599999999999998E-2</v>
      </c>
      <c r="J391">
        <v>5.3999999999999999E-2</v>
      </c>
      <c r="K391">
        <v>5.9651302839740947E-2</v>
      </c>
      <c r="L391">
        <v>5.2002054928136324E-2</v>
      </c>
      <c r="M391">
        <v>7.0664862438961806E-2</v>
      </c>
      <c r="N391" s="13">
        <f t="shared" si="56"/>
        <v>7.4899999999999994E-2</v>
      </c>
    </row>
    <row r="392" spans="1:14" x14ac:dyDescent="0.25">
      <c r="A392" s="1365">
        <v>0.74</v>
      </c>
      <c r="B392">
        <v>6.7519753309499275E-2</v>
      </c>
      <c r="C392" s="13">
        <v>5.5677446998567248E-2</v>
      </c>
      <c r="D392" s="1375">
        <v>7.5200000000000003E-2</v>
      </c>
      <c r="E392" s="1375">
        <v>6.6000000000000003E-2</v>
      </c>
      <c r="F392">
        <v>7.5200000000000003E-2</v>
      </c>
      <c r="G392">
        <v>6.6000000000000003E-2</v>
      </c>
      <c r="H392">
        <v>7.0000000000000007E-2</v>
      </c>
      <c r="I392" s="1366">
        <v>5.8400000000000001E-2</v>
      </c>
      <c r="J392">
        <v>5.5E-2</v>
      </c>
      <c r="K392">
        <v>6.0475046557134225E-2</v>
      </c>
      <c r="L392">
        <v>5.2280959284592809E-2</v>
      </c>
      <c r="M392">
        <v>7.0758333556098243E-2</v>
      </c>
      <c r="N392" s="13">
        <f t="shared" si="56"/>
        <v>7.5200000000000003E-2</v>
      </c>
    </row>
    <row r="393" spans="1:14" x14ac:dyDescent="0.25">
      <c r="A393" s="1365">
        <v>0.75</v>
      </c>
      <c r="B393">
        <v>6.8349768318160184E-2</v>
      </c>
      <c r="C393" s="13">
        <v>5.6487905757467705E-2</v>
      </c>
      <c r="D393" s="1375">
        <v>7.5499999999999998E-2</v>
      </c>
      <c r="E393" s="1375">
        <v>6.6000000000000003E-2</v>
      </c>
      <c r="F393">
        <v>7.5499999999999998E-2</v>
      </c>
      <c r="G393">
        <v>6.6000000000000003E-2</v>
      </c>
      <c r="H393">
        <v>7.0300000000000001E-2</v>
      </c>
      <c r="I393" s="1366">
        <v>5.8500000000000003E-2</v>
      </c>
      <c r="J393">
        <v>5.5E-2</v>
      </c>
      <c r="K393">
        <v>6.0988388339712242E-2</v>
      </c>
      <c r="L393">
        <v>5.2741333383053583E-2</v>
      </c>
      <c r="M393">
        <v>7.1580686877456071E-2</v>
      </c>
      <c r="N393" s="13">
        <f t="shared" si="56"/>
        <v>7.5499999999999998E-2</v>
      </c>
    </row>
    <row r="394" spans="1:14" x14ac:dyDescent="0.25">
      <c r="A394" s="1365">
        <v>0.76</v>
      </c>
      <c r="B394">
        <v>6.9526934147364342E-2</v>
      </c>
      <c r="C394" s="13">
        <v>5.7201600083459814E-2</v>
      </c>
      <c r="D394" s="1375">
        <v>7.5700000000000003E-2</v>
      </c>
      <c r="E394" s="1375">
        <v>6.7000000000000004E-2</v>
      </c>
      <c r="F394">
        <v>7.5700000000000003E-2</v>
      </c>
      <c r="G394">
        <v>6.7000000000000004E-2</v>
      </c>
      <c r="H394">
        <v>7.0599999999999996E-2</v>
      </c>
      <c r="I394" s="1366">
        <v>5.8799999999999998E-2</v>
      </c>
      <c r="J394">
        <v>5.6000000000000001E-2</v>
      </c>
      <c r="K394">
        <v>6.2225982248819006E-2</v>
      </c>
      <c r="L394">
        <v>5.3130503404853952E-2</v>
      </c>
      <c r="M394">
        <v>7.2195860514925048E-2</v>
      </c>
      <c r="N394" s="13">
        <f t="shared" si="56"/>
        <v>7.5700000000000003E-2</v>
      </c>
    </row>
    <row r="395" spans="1:14" x14ac:dyDescent="0.25">
      <c r="A395" s="1365">
        <v>0.77</v>
      </c>
      <c r="B395">
        <v>6.9944272856261328E-2</v>
      </c>
      <c r="C395" s="13">
        <v>5.7302030739530746E-2</v>
      </c>
      <c r="D395" s="1375">
        <v>7.5899999999999995E-2</v>
      </c>
      <c r="E395" s="1375">
        <v>6.7000000000000004E-2</v>
      </c>
      <c r="F395">
        <v>7.5899999999999995E-2</v>
      </c>
      <c r="G395">
        <v>6.7000000000000004E-2</v>
      </c>
      <c r="H395">
        <v>7.1400000000000005E-2</v>
      </c>
      <c r="I395" s="1366">
        <v>5.9299999999999999E-2</v>
      </c>
      <c r="J395">
        <v>5.6000000000000001E-2</v>
      </c>
      <c r="K395">
        <v>6.232600114961822E-2</v>
      </c>
      <c r="L395">
        <v>5.344237664558122E-2</v>
      </c>
      <c r="M395">
        <v>7.2243483840483264E-2</v>
      </c>
      <c r="N395" s="13">
        <f t="shared" si="56"/>
        <v>7.5899999999999995E-2</v>
      </c>
    </row>
    <row r="396" spans="1:14" x14ac:dyDescent="0.25">
      <c r="A396" s="1365">
        <v>0.78</v>
      </c>
      <c r="B396">
        <v>7.0569739482007565E-2</v>
      </c>
      <c r="C396" s="13">
        <v>5.7570579437147509E-2</v>
      </c>
      <c r="D396" s="1375">
        <v>7.6200000000000004E-2</v>
      </c>
      <c r="E396" s="1375">
        <v>7.1999999999999995E-2</v>
      </c>
      <c r="F396">
        <v>7.6200000000000004E-2</v>
      </c>
      <c r="G396">
        <v>7.1999999999999995E-2</v>
      </c>
      <c r="H396">
        <v>7.2999999999999995E-2</v>
      </c>
      <c r="I396" s="1366">
        <v>5.96E-2</v>
      </c>
      <c r="J396">
        <v>5.8000000000000003E-2</v>
      </c>
      <c r="K396">
        <v>6.3512252724869031E-2</v>
      </c>
      <c r="L396">
        <v>5.4074275095339151E-2</v>
      </c>
      <c r="M396">
        <v>7.2331641027570684E-2</v>
      </c>
      <c r="N396" s="13">
        <f t="shared" si="56"/>
        <v>7.6200000000000004E-2</v>
      </c>
    </row>
    <row r="397" spans="1:14" x14ac:dyDescent="0.25">
      <c r="A397" s="1365">
        <v>0.79</v>
      </c>
      <c r="B397">
        <v>7.1835351614450454E-2</v>
      </c>
      <c r="C397" s="13">
        <v>5.7571792991735669E-2</v>
      </c>
      <c r="D397" s="1375">
        <v>7.6499999999999999E-2</v>
      </c>
      <c r="E397" s="1375">
        <v>7.1999999999999995E-2</v>
      </c>
      <c r="F397">
        <v>7.6499999999999999E-2</v>
      </c>
      <c r="G397">
        <v>7.1999999999999995E-2</v>
      </c>
      <c r="H397">
        <v>7.3499999999999996E-2</v>
      </c>
      <c r="I397" s="1366">
        <v>6.2E-2</v>
      </c>
      <c r="J397">
        <v>5.8000000000000003E-2</v>
      </c>
      <c r="K397">
        <v>6.374841701956406E-2</v>
      </c>
      <c r="L397">
        <v>5.4845459312620422E-2</v>
      </c>
      <c r="M397">
        <v>7.3686593231157227E-2</v>
      </c>
      <c r="N397" s="13">
        <f t="shared" si="56"/>
        <v>7.6499999999999999E-2</v>
      </c>
    </row>
    <row r="398" spans="1:14" x14ac:dyDescent="0.25">
      <c r="A398" s="1365">
        <v>0.8</v>
      </c>
      <c r="B398">
        <v>7.3318821187959571E-2</v>
      </c>
      <c r="C398" s="13">
        <v>5.7746596838690198E-2</v>
      </c>
      <c r="D398" s="1375">
        <v>7.6700000000000004E-2</v>
      </c>
      <c r="E398" s="1375">
        <v>7.9000000000000001E-2</v>
      </c>
      <c r="F398">
        <v>7.6700000000000004E-2</v>
      </c>
      <c r="G398">
        <v>7.9000000000000001E-2</v>
      </c>
      <c r="H398">
        <v>7.4499999999999997E-2</v>
      </c>
      <c r="I398" s="1366">
        <v>6.4000000000000001E-2</v>
      </c>
      <c r="J398">
        <v>5.8000000000000003E-2</v>
      </c>
      <c r="K398">
        <v>6.4396069103546089E-2</v>
      </c>
      <c r="L398">
        <v>5.5215033841479154E-2</v>
      </c>
      <c r="M398">
        <v>7.4197133493800485E-2</v>
      </c>
      <c r="N398" s="13">
        <f t="shared" si="56"/>
        <v>7.6700000000000004E-2</v>
      </c>
    </row>
    <row r="399" spans="1:14" x14ac:dyDescent="0.25">
      <c r="A399" s="1365">
        <v>0.81</v>
      </c>
      <c r="B399">
        <v>7.456336231958885E-2</v>
      </c>
      <c r="C399" s="13">
        <v>5.8700886770003083E-2</v>
      </c>
      <c r="D399" s="1375">
        <v>7.7200000000000005E-2</v>
      </c>
      <c r="E399" s="1375">
        <v>7.9000000000000001E-2</v>
      </c>
      <c r="F399">
        <v>7.7200000000000005E-2</v>
      </c>
      <c r="G399">
        <v>7.9000000000000001E-2</v>
      </c>
      <c r="H399">
        <v>7.4999999999999997E-2</v>
      </c>
      <c r="I399" s="1366">
        <v>6.6100000000000006E-2</v>
      </c>
      <c r="J399">
        <v>5.8000000000000003E-2</v>
      </c>
      <c r="K399">
        <v>6.4831366700613985E-2</v>
      </c>
      <c r="L399">
        <v>5.57246334791393E-2</v>
      </c>
      <c r="M399">
        <v>7.4839620265650247E-2</v>
      </c>
      <c r="N399" s="13">
        <f t="shared" si="56"/>
        <v>7.7200000000000005E-2</v>
      </c>
    </row>
    <row r="400" spans="1:14" x14ac:dyDescent="0.25">
      <c r="A400" s="1365">
        <v>0.82</v>
      </c>
      <c r="B400">
        <v>7.546792825035456E-2</v>
      </c>
      <c r="C400" s="13">
        <v>5.9397273977741645E-2</v>
      </c>
      <c r="D400" s="1375">
        <v>7.7499999999999999E-2</v>
      </c>
      <c r="E400" s="1375">
        <v>9.0999999999999998E-2</v>
      </c>
      <c r="F400">
        <v>7.7499999999999999E-2</v>
      </c>
      <c r="G400">
        <v>9.0999999999999998E-2</v>
      </c>
      <c r="H400">
        <v>7.5200000000000003E-2</v>
      </c>
      <c r="I400" s="1366">
        <v>6.7599999999999993E-2</v>
      </c>
      <c r="J400">
        <v>5.8999999999999997E-2</v>
      </c>
      <c r="K400">
        <v>6.5251265149407864E-2</v>
      </c>
      <c r="L400">
        <v>5.6146245369921931E-2</v>
      </c>
      <c r="M400">
        <v>7.5036109714589627E-2</v>
      </c>
      <c r="N400" s="13">
        <f t="shared" si="56"/>
        <v>7.7499999999999999E-2</v>
      </c>
    </row>
    <row r="401" spans="1:14" x14ac:dyDescent="0.25">
      <c r="A401" s="1365">
        <v>0.83</v>
      </c>
      <c r="B401">
        <v>7.6786068680727446E-2</v>
      </c>
      <c r="C401" s="13">
        <v>6.1225213056564504E-2</v>
      </c>
      <c r="D401" s="1375">
        <v>7.7700000000000005E-2</v>
      </c>
      <c r="E401" s="1375">
        <v>9.0999999999999998E-2</v>
      </c>
      <c r="F401">
        <v>7.7700000000000005E-2</v>
      </c>
      <c r="G401">
        <v>9.0999999999999998E-2</v>
      </c>
      <c r="H401">
        <v>7.5899999999999995E-2</v>
      </c>
      <c r="I401" s="1366">
        <v>6.93E-2</v>
      </c>
      <c r="J401">
        <v>5.8999999999999997E-2</v>
      </c>
      <c r="K401">
        <v>6.5534250951235481E-2</v>
      </c>
      <c r="L401">
        <v>5.6476884503660826E-2</v>
      </c>
      <c r="M401">
        <v>7.6484238108261812E-2</v>
      </c>
      <c r="N401" s="13">
        <f t="shared" si="56"/>
        <v>7.7700000000000005E-2</v>
      </c>
    </row>
    <row r="402" spans="1:14" x14ac:dyDescent="0.25">
      <c r="A402" s="1365">
        <v>0.84</v>
      </c>
      <c r="B402">
        <v>7.779102862596432E-2</v>
      </c>
      <c r="C402" s="13">
        <v>6.1403813647852884E-2</v>
      </c>
      <c r="D402" s="1375">
        <v>7.8E-2</v>
      </c>
      <c r="E402" s="1375">
        <v>0.127</v>
      </c>
      <c r="F402">
        <v>7.8E-2</v>
      </c>
      <c r="G402">
        <v>0.127</v>
      </c>
      <c r="H402">
        <v>7.5999999999999998E-2</v>
      </c>
      <c r="I402" s="1366">
        <v>7.1199999999999999E-2</v>
      </c>
      <c r="J402">
        <v>0.06</v>
      </c>
      <c r="K402">
        <v>6.6243486792298065E-2</v>
      </c>
      <c r="L402">
        <v>5.689821487178448E-2</v>
      </c>
      <c r="M402">
        <v>7.8010502268406182E-2</v>
      </c>
      <c r="N402" s="13">
        <f t="shared" si="56"/>
        <v>7.8E-2</v>
      </c>
    </row>
    <row r="403" spans="1:14" x14ac:dyDescent="0.25">
      <c r="A403" s="1365">
        <v>0.85</v>
      </c>
      <c r="B403">
        <v>7.9082518335924099E-2</v>
      </c>
      <c r="C403" s="13">
        <v>6.1404255913513887E-2</v>
      </c>
      <c r="D403" s="1375">
        <v>7.9000000000000001E-2</v>
      </c>
      <c r="E403" s="1375">
        <v>0.127</v>
      </c>
      <c r="F403">
        <v>7.9000000000000001E-2</v>
      </c>
      <c r="G403">
        <v>0.127</v>
      </c>
      <c r="H403">
        <v>7.8E-2</v>
      </c>
      <c r="I403" s="1366">
        <v>7.1900000000000006E-2</v>
      </c>
      <c r="J403">
        <v>0.06</v>
      </c>
      <c r="K403">
        <v>6.7298888481425956E-2</v>
      </c>
      <c r="L403">
        <v>5.7515999847886315E-2</v>
      </c>
      <c r="M403">
        <v>7.8135428493981016E-2</v>
      </c>
      <c r="N403" s="13">
        <f t="shared" si="56"/>
        <v>7.9000000000000001E-2</v>
      </c>
    </row>
    <row r="404" spans="1:14" x14ac:dyDescent="0.25">
      <c r="A404" s="1365">
        <v>0.86</v>
      </c>
      <c r="B404">
        <v>8.021838071126243E-2</v>
      </c>
      <c r="C404" s="13">
        <v>6.1465478117159474E-2</v>
      </c>
      <c r="D404" s="1375">
        <v>7.9100000000000004E-2</v>
      </c>
      <c r="E404" s="1375">
        <v>0.129</v>
      </c>
      <c r="F404">
        <v>7.9100000000000004E-2</v>
      </c>
      <c r="G404">
        <v>0.129</v>
      </c>
      <c r="H404">
        <v>7.8399999999999997E-2</v>
      </c>
      <c r="I404" s="1366">
        <v>7.1900000000000006E-2</v>
      </c>
      <c r="J404">
        <v>6.2E-2</v>
      </c>
      <c r="K404">
        <v>6.9072317960505891E-2</v>
      </c>
      <c r="L404">
        <v>5.8016816830537096E-2</v>
      </c>
      <c r="M404">
        <v>7.8750659382053251E-2</v>
      </c>
      <c r="N404" s="13">
        <f t="shared" si="56"/>
        <v>7.9100000000000004E-2</v>
      </c>
    </row>
    <row r="405" spans="1:14" x14ac:dyDescent="0.25">
      <c r="A405" s="1365">
        <v>0.87</v>
      </c>
      <c r="B405">
        <v>8.1918047339357716E-2</v>
      </c>
      <c r="C405" s="13">
        <v>6.3171468325796093E-2</v>
      </c>
      <c r="D405" s="1375">
        <v>7.9699999999999993E-2</v>
      </c>
      <c r="E405" s="1375">
        <v>0.129</v>
      </c>
      <c r="F405">
        <v>7.9699999999999993E-2</v>
      </c>
      <c r="G405">
        <v>0.129</v>
      </c>
      <c r="H405">
        <v>8.14E-2</v>
      </c>
      <c r="I405" s="1366">
        <v>7.3800000000000004E-2</v>
      </c>
      <c r="J405">
        <v>6.2E-2</v>
      </c>
      <c r="K405">
        <v>6.9471665301592059E-2</v>
      </c>
      <c r="L405">
        <v>5.863598462278384E-2</v>
      </c>
      <c r="M405">
        <v>7.959392530864362E-2</v>
      </c>
      <c r="N405" s="13">
        <f t="shared" si="56"/>
        <v>7.9699999999999993E-2</v>
      </c>
    </row>
    <row r="406" spans="1:14" x14ac:dyDescent="0.25">
      <c r="A406" s="1365">
        <v>0.88</v>
      </c>
      <c r="B406">
        <v>8.493755845983128E-2</v>
      </c>
      <c r="C406" s="13">
        <v>6.3448041894502608E-2</v>
      </c>
      <c r="D406" s="1375">
        <v>8.0399999999999999E-2</v>
      </c>
      <c r="E406" s="1375">
        <v>0.13600000000000001</v>
      </c>
      <c r="F406">
        <v>8.0399999999999999E-2</v>
      </c>
      <c r="G406">
        <v>0.13600000000000001</v>
      </c>
      <c r="H406">
        <v>8.1699999999999995E-2</v>
      </c>
      <c r="I406" s="1366">
        <v>7.5200000000000003E-2</v>
      </c>
      <c r="J406">
        <v>6.4000000000000001E-2</v>
      </c>
      <c r="K406">
        <v>7.0276315829456315E-2</v>
      </c>
      <c r="L406">
        <v>5.8995386075688827E-2</v>
      </c>
      <c r="M406">
        <v>7.9895031102273931E-2</v>
      </c>
      <c r="N406" s="13">
        <f t="shared" si="56"/>
        <v>8.0399999999999999E-2</v>
      </c>
    </row>
    <row r="407" spans="1:14" x14ac:dyDescent="0.25">
      <c r="A407" s="1365">
        <v>0.89</v>
      </c>
      <c r="B407">
        <v>8.5956957901898237E-2</v>
      </c>
      <c r="C407" s="13">
        <v>6.5407324667621808E-2</v>
      </c>
      <c r="D407" s="1375">
        <v>8.1299999999999997E-2</v>
      </c>
      <c r="E407" s="1375">
        <v>0.13600000000000001</v>
      </c>
      <c r="F407">
        <v>8.1299999999999997E-2</v>
      </c>
      <c r="G407">
        <v>0.13600000000000001</v>
      </c>
      <c r="H407">
        <v>8.4699999999999998E-2</v>
      </c>
      <c r="I407" s="1366">
        <v>7.9799999999999996E-2</v>
      </c>
      <c r="J407">
        <v>6.4000000000000001E-2</v>
      </c>
      <c r="K407">
        <v>7.1079794716608177E-2</v>
      </c>
      <c r="L407">
        <v>5.9759127698825382E-2</v>
      </c>
      <c r="M407">
        <v>8.0077036539599689E-2</v>
      </c>
      <c r="N407" s="13">
        <f t="shared" si="56"/>
        <v>8.1299999999999997E-2</v>
      </c>
    </row>
    <row r="408" spans="1:14" x14ac:dyDescent="0.25">
      <c r="A408" s="1365">
        <v>0.9</v>
      </c>
      <c r="B408">
        <v>8.8866737986844815E-2</v>
      </c>
      <c r="C408" s="13">
        <v>6.6983958048912731E-2</v>
      </c>
      <c r="D408" s="1375">
        <v>8.2299999999999998E-2</v>
      </c>
      <c r="E408" s="1375">
        <v>0.15</v>
      </c>
      <c r="F408">
        <v>8.2299999999999998E-2</v>
      </c>
      <c r="G408">
        <v>0.15</v>
      </c>
      <c r="H408">
        <v>8.6199999999999999E-2</v>
      </c>
      <c r="I408" s="1366">
        <v>8.43E-2</v>
      </c>
      <c r="J408">
        <v>6.6000000000000003E-2</v>
      </c>
      <c r="K408">
        <v>7.2831119380381643E-2</v>
      </c>
      <c r="L408">
        <v>6.0697400246521538E-2</v>
      </c>
      <c r="M408">
        <v>8.0335033689528212E-2</v>
      </c>
      <c r="N408" s="13">
        <f t="shared" si="56"/>
        <v>8.2299999999999998E-2</v>
      </c>
    </row>
    <row r="409" spans="1:14" x14ac:dyDescent="0.25">
      <c r="A409" s="1365">
        <v>0.91</v>
      </c>
      <c r="B409">
        <v>9.2438078194799975E-2</v>
      </c>
      <c r="C409" s="13">
        <v>6.9596642802092462E-2</v>
      </c>
      <c r="D409" s="1375">
        <v>8.3400000000000002E-2</v>
      </c>
      <c r="E409" s="1375">
        <v>0.15</v>
      </c>
      <c r="F409">
        <v>8.3400000000000002E-2</v>
      </c>
      <c r="G409">
        <v>0.15</v>
      </c>
      <c r="H409">
        <v>0.09</v>
      </c>
      <c r="I409" s="1366">
        <v>8.9800000000000005E-2</v>
      </c>
      <c r="J409">
        <v>6.6000000000000003E-2</v>
      </c>
      <c r="K409">
        <v>7.3087201971581639E-2</v>
      </c>
      <c r="L409">
        <v>6.2341367051995784E-2</v>
      </c>
      <c r="M409">
        <v>8.0947491697909102E-2</v>
      </c>
      <c r="N409" s="13">
        <f t="shared" si="56"/>
        <v>8.3400000000000002E-2</v>
      </c>
    </row>
    <row r="410" spans="1:14" x14ac:dyDescent="0.25">
      <c r="A410" s="1365">
        <v>0.92</v>
      </c>
      <c r="B410">
        <v>9.3759488916092662E-2</v>
      </c>
      <c r="C410" s="13">
        <v>7.1298069493638164E-2</v>
      </c>
      <c r="D410" s="1375">
        <v>8.3599999999999994E-2</v>
      </c>
      <c r="E410" s="1375">
        <v>0.17299999999999999</v>
      </c>
      <c r="F410">
        <v>8.3599999999999994E-2</v>
      </c>
      <c r="G410">
        <v>0.17299999999999999</v>
      </c>
      <c r="H410">
        <v>9.2100000000000001E-2</v>
      </c>
      <c r="I410" s="1366">
        <v>9.01E-2</v>
      </c>
      <c r="J410">
        <v>6.9000000000000006E-2</v>
      </c>
      <c r="K410">
        <v>7.3948960411485895E-2</v>
      </c>
      <c r="L410">
        <v>6.3084849485628064E-2</v>
      </c>
      <c r="M410">
        <v>8.1517807775567191E-2</v>
      </c>
      <c r="N410" s="13">
        <f t="shared" si="56"/>
        <v>8.3599999999999994E-2</v>
      </c>
    </row>
    <row r="411" spans="1:14" x14ac:dyDescent="0.25">
      <c r="A411" s="1365">
        <v>0.93</v>
      </c>
      <c r="B411">
        <v>9.3766233537097746E-2</v>
      </c>
      <c r="C411" s="13">
        <v>7.2279408769824985E-2</v>
      </c>
      <c r="D411" s="1375">
        <v>8.4699999999999998E-2</v>
      </c>
      <c r="E411" s="1375">
        <v>0.17299999999999999</v>
      </c>
      <c r="F411">
        <v>8.4699999999999998E-2</v>
      </c>
      <c r="G411">
        <v>0.17299999999999999</v>
      </c>
      <c r="H411">
        <v>9.6600000000000005E-2</v>
      </c>
      <c r="I411" s="1366">
        <v>9.0200000000000002E-2</v>
      </c>
      <c r="J411">
        <v>6.9000000000000006E-2</v>
      </c>
      <c r="K411">
        <v>7.550791398012173E-2</v>
      </c>
      <c r="L411">
        <v>6.38778247719477E-2</v>
      </c>
      <c r="M411">
        <v>8.1934165768493772E-2</v>
      </c>
      <c r="N411" s="13">
        <f t="shared" si="56"/>
        <v>8.4699999999999998E-2</v>
      </c>
    </row>
    <row r="412" spans="1:14" x14ac:dyDescent="0.25">
      <c r="A412" s="1365">
        <v>0.94</v>
      </c>
      <c r="B412">
        <v>9.5161923305407847E-2</v>
      </c>
      <c r="C412" s="13">
        <v>7.436830945816629E-2</v>
      </c>
      <c r="D412" s="1375">
        <v>8.5900000000000004E-2</v>
      </c>
      <c r="E412" s="1375">
        <v>0.20200000000000001</v>
      </c>
      <c r="F412">
        <v>8.5900000000000004E-2</v>
      </c>
      <c r="G412">
        <v>0.20200000000000001</v>
      </c>
      <c r="H412">
        <v>9.7900000000000001E-2</v>
      </c>
      <c r="I412" s="1366">
        <v>9.0899999999999995E-2</v>
      </c>
      <c r="J412">
        <v>7.0999999999999994E-2</v>
      </c>
      <c r="K412">
        <v>7.703745572012638E-2</v>
      </c>
      <c r="L412">
        <v>6.4686396958777329E-2</v>
      </c>
      <c r="M412">
        <v>8.2788005890371982E-2</v>
      </c>
      <c r="N412" s="13">
        <f t="shared" si="56"/>
        <v>8.5900000000000004E-2</v>
      </c>
    </row>
    <row r="413" spans="1:14" x14ac:dyDescent="0.25">
      <c r="A413" s="1365">
        <v>0.95</v>
      </c>
      <c r="B413">
        <v>9.6729733071243912E-2</v>
      </c>
      <c r="C413" s="13">
        <v>7.4684376163716634E-2</v>
      </c>
      <c r="D413" s="1375">
        <v>8.8300000000000003E-2</v>
      </c>
      <c r="E413" s="1375">
        <v>0.20200000000000001</v>
      </c>
      <c r="F413">
        <v>8.8300000000000003E-2</v>
      </c>
      <c r="G413">
        <v>0.20200000000000001</v>
      </c>
      <c r="H413">
        <v>9.8199999999999996E-2</v>
      </c>
      <c r="I413" s="1366">
        <v>0.1019</v>
      </c>
      <c r="J413">
        <v>7.1999999999999995E-2</v>
      </c>
      <c r="K413">
        <v>7.9921822537374163E-2</v>
      </c>
      <c r="L413">
        <v>6.5855203170441107E-2</v>
      </c>
      <c r="M413">
        <v>8.3007125120572137E-2</v>
      </c>
      <c r="N413" s="13">
        <f t="shared" si="56"/>
        <v>8.8300000000000003E-2</v>
      </c>
    </row>
    <row r="414" spans="1:14" x14ac:dyDescent="0.25">
      <c r="A414" s="1365">
        <v>0.96</v>
      </c>
      <c r="B414">
        <v>0.10271632464427888</v>
      </c>
      <c r="C414" s="13">
        <v>7.9082928687387588E-2</v>
      </c>
      <c r="D414" s="1375">
        <v>8.8599999999999998E-2</v>
      </c>
      <c r="E414" s="1375">
        <v>0.23200000000000001</v>
      </c>
      <c r="F414">
        <v>8.8599999999999998E-2</v>
      </c>
      <c r="G414">
        <v>0.23200000000000001</v>
      </c>
      <c r="H414">
        <v>0.107</v>
      </c>
      <c r="I414" s="1366">
        <v>0.12570000000000001</v>
      </c>
      <c r="J414">
        <v>7.2999999999999995E-2</v>
      </c>
      <c r="K414">
        <v>8.0757683881645462E-2</v>
      </c>
      <c r="L414">
        <v>6.7074884421271949E-2</v>
      </c>
      <c r="M414">
        <v>8.4553139281628331E-2</v>
      </c>
      <c r="N414" s="13">
        <f t="shared" si="56"/>
        <v>8.8599999999999998E-2</v>
      </c>
    </row>
    <row r="415" spans="1:14" x14ac:dyDescent="0.25">
      <c r="A415" s="1365">
        <v>0.97</v>
      </c>
      <c r="B415">
        <v>0.10829698002532144</v>
      </c>
      <c r="C415" s="13">
        <v>8.6975370551938547E-2</v>
      </c>
      <c r="D415" s="1375">
        <v>9.0300000000000005E-2</v>
      </c>
      <c r="E415" s="1375">
        <v>0.23200000000000001</v>
      </c>
      <c r="F415">
        <v>9.0300000000000005E-2</v>
      </c>
      <c r="G415">
        <v>0.23200000000000001</v>
      </c>
      <c r="H415">
        <v>0.1166</v>
      </c>
      <c r="I415" s="1366">
        <v>0.1356</v>
      </c>
      <c r="J415">
        <v>7.4999999999999997E-2</v>
      </c>
      <c r="K415">
        <v>8.8217612849514612E-2</v>
      </c>
      <c r="L415">
        <v>7.1580686877456071E-2</v>
      </c>
      <c r="M415">
        <v>8.5401322880950481E-2</v>
      </c>
      <c r="N415" s="13">
        <f t="shared" si="56"/>
        <v>9.0300000000000005E-2</v>
      </c>
    </row>
    <row r="416" spans="1:14" x14ac:dyDescent="0.25">
      <c r="A416" s="1365">
        <v>0.98</v>
      </c>
      <c r="B416">
        <v>0.11334344869830724</v>
      </c>
      <c r="C416" s="13">
        <v>9.8435266557093934E-2</v>
      </c>
      <c r="D416" s="1375">
        <v>9.1999999999999998E-2</v>
      </c>
      <c r="E416" s="1375">
        <v>0.28899999999999998</v>
      </c>
      <c r="F416">
        <v>9.1999999999999998E-2</v>
      </c>
      <c r="G416">
        <v>0.28899999999999998</v>
      </c>
      <c r="H416">
        <v>0.11799999999999999</v>
      </c>
      <c r="I416" s="1366">
        <v>0.13569999999999999</v>
      </c>
      <c r="J416">
        <v>7.8E-2</v>
      </c>
      <c r="K416">
        <v>9.4577579393877662E-2</v>
      </c>
      <c r="L416">
        <v>7.7026362919195762E-2</v>
      </c>
      <c r="M416">
        <v>8.6801984216314021E-2</v>
      </c>
      <c r="N416" s="13">
        <f t="shared" si="56"/>
        <v>9.1999999999999998E-2</v>
      </c>
    </row>
    <row r="417" spans="1:14" x14ac:dyDescent="0.25">
      <c r="A417" s="1365">
        <v>0.99</v>
      </c>
      <c r="B417">
        <v>0.12949946153696373</v>
      </c>
      <c r="C417" s="13">
        <v>0.1071553376948601</v>
      </c>
      <c r="D417" s="1375">
        <v>0.11310000000000001</v>
      </c>
      <c r="E417" s="1375">
        <v>0.28899999999999998</v>
      </c>
      <c r="F417">
        <v>0.11310000000000001</v>
      </c>
      <c r="G417">
        <v>0.28899999999999998</v>
      </c>
      <c r="H417">
        <v>0.12089999999999999</v>
      </c>
      <c r="I417" s="1366">
        <v>0.14230000000000001</v>
      </c>
      <c r="J417">
        <v>9.4E-2</v>
      </c>
      <c r="K417">
        <v>0.10807441632085323</v>
      </c>
      <c r="L417">
        <v>9.4124770917749803E-2</v>
      </c>
      <c r="M417">
        <v>8.7045279428524913E-2</v>
      </c>
      <c r="N417" s="13">
        <f t="shared" si="56"/>
        <v>0.11310000000000001</v>
      </c>
    </row>
    <row r="418" spans="1:14" x14ac:dyDescent="0.25">
      <c r="A418" s="1365">
        <v>1</v>
      </c>
      <c r="B418">
        <v>0.17871892647258461</v>
      </c>
      <c r="C418" s="13">
        <v>0.19841051492367284</v>
      </c>
      <c r="D418" s="1375">
        <v>0.1363</v>
      </c>
      <c r="E418" s="1375">
        <v>0.32600000000000001</v>
      </c>
      <c r="F418">
        <v>0.1363</v>
      </c>
      <c r="G418">
        <v>0.32600000000000001</v>
      </c>
      <c r="H418">
        <v>0.14990000000000001</v>
      </c>
      <c r="I418" s="1366">
        <v>0.1449</v>
      </c>
      <c r="J418">
        <v>0.12</v>
      </c>
      <c r="K418">
        <v>0.13449091855561235</v>
      </c>
      <c r="L418">
        <v>0.11093769653409177</v>
      </c>
      <c r="M418">
        <v>9.3667747469695278E-2</v>
      </c>
      <c r="N418" s="13">
        <f t="shared" si="56"/>
        <v>0.1363</v>
      </c>
    </row>
    <row r="419" spans="1:14" s="13" customFormat="1" x14ac:dyDescent="0.25">
      <c r="A419" s="1365" t="s">
        <v>1992</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1856</v>
      </c>
      <c r="B420" s="13">
        <f ca="1">AVERAGE('классы ЭЭ и выбросы ПГ'!$Y$51)</f>
        <v>5.3822677384275618E-2</v>
      </c>
      <c r="C420" s="13">
        <f ca="1">B420</f>
        <v>5.3822677384275618E-2</v>
      </c>
      <c r="D420" s="13">
        <f ca="1">AVERAGE('классы ЭЭ и выбросы ПГ'!$Z$51:$AA$51)</f>
        <v>5.0699796242110351E-2</v>
      </c>
      <c r="E420" s="13">
        <f ca="1">D420</f>
        <v>5.0699796242110351E-2</v>
      </c>
      <c r="F420" s="13">
        <f ca="1">AVERAGE('классы ЭЭ и выбросы ПГ'!$AB$51:$AC$51)</f>
        <v>4.8619994338501546E-2</v>
      </c>
      <c r="G420" s="13">
        <f ca="1">F420</f>
        <v>4.8619994338501546E-2</v>
      </c>
      <c r="H420" s="13">
        <f ca="1">AVERAGE('классы ЭЭ и выбросы ПГ'!$AD$51:$AE$51)</f>
        <v>4.7435966210383526E-2</v>
      </c>
      <c r="I420" s="13">
        <f ca="1">H420</f>
        <v>4.7435966210383526E-2</v>
      </c>
      <c r="J420" s="13">
        <f ca="1">AVERAGE('классы ЭЭ и выбросы ПГ'!$AF$51:$AG$51)</f>
        <v>4.6325325956569019E-2</v>
      </c>
      <c r="K420" s="13">
        <f ca="1">J420</f>
        <v>4.6325325956569019E-2</v>
      </c>
      <c r="L420" s="13">
        <f ca="1">AVERAGE('классы ЭЭ и выбросы ПГ'!$AH$51:$AN$51)</f>
        <v>4.4937555353759581E-2</v>
      </c>
      <c r="M420" s="13">
        <f ca="1">L420</f>
        <v>4.4937555353759581E-2</v>
      </c>
      <c r="N420" s="13">
        <f t="shared" ca="1" si="56"/>
        <v>4.8619994338501546E-2</v>
      </c>
    </row>
    <row r="421" spans="1:14" s="13" customFormat="1" x14ac:dyDescent="0.25">
      <c r="A421" s="13" t="s">
        <v>1855</v>
      </c>
      <c r="B421" s="13">
        <f ca="1">B420*0.4</f>
        <v>2.1529070953710247E-2</v>
      </c>
      <c r="C421" s="13">
        <f t="shared" ref="C421:M421" ca="1" si="57">C420*0.4</f>
        <v>2.1529070953710247E-2</v>
      </c>
      <c r="D421" s="13">
        <f t="shared" ca="1" si="57"/>
        <v>2.0279918496844143E-2</v>
      </c>
      <c r="E421" s="13">
        <f t="shared" ca="1" si="57"/>
        <v>2.0279918496844143E-2</v>
      </c>
      <c r="F421" s="13">
        <f t="shared" ca="1" si="57"/>
        <v>1.944799773540062E-2</v>
      </c>
      <c r="G421" s="13">
        <f t="shared" ca="1" si="57"/>
        <v>1.944799773540062E-2</v>
      </c>
      <c r="H421" s="13">
        <f t="shared" ca="1" si="57"/>
        <v>1.8974386484153411E-2</v>
      </c>
      <c r="I421" s="13">
        <f t="shared" ca="1" si="57"/>
        <v>1.8974386484153411E-2</v>
      </c>
      <c r="J421" s="13">
        <f t="shared" ca="1" si="57"/>
        <v>1.8530130382627609E-2</v>
      </c>
      <c r="K421" s="13">
        <f t="shared" ca="1" si="57"/>
        <v>1.8530130382627609E-2</v>
      </c>
      <c r="L421" s="13">
        <f t="shared" ca="1" si="57"/>
        <v>1.7975022141503833E-2</v>
      </c>
      <c r="M421" s="13">
        <f t="shared" ca="1" si="57"/>
        <v>1.7975022141503833E-2</v>
      </c>
      <c r="N421" s="13">
        <f t="shared" ca="1" si="56"/>
        <v>1.944799773540062E-2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f t="shared" ref="B423:M423" ca="1" si="58">0.4*B420</f>
        <v>2.1529070953710247E-2</v>
      </c>
      <c r="C423" s="13">
        <f t="shared" ca="1" si="58"/>
        <v>2.1529070953710247E-2</v>
      </c>
      <c r="D423" s="13">
        <f t="shared" ca="1" si="58"/>
        <v>2.0279918496844143E-2</v>
      </c>
      <c r="E423" s="13">
        <f t="shared" ca="1" si="58"/>
        <v>2.0279918496844143E-2</v>
      </c>
      <c r="F423" s="13">
        <f t="shared" ca="1" si="58"/>
        <v>1.944799773540062E-2</v>
      </c>
      <c r="G423" s="13">
        <f t="shared" ca="1" si="58"/>
        <v>1.944799773540062E-2</v>
      </c>
      <c r="H423" s="13">
        <f t="shared" ca="1" si="58"/>
        <v>1.8974386484153411E-2</v>
      </c>
      <c r="I423" s="13">
        <f t="shared" ca="1" si="58"/>
        <v>1.8974386484153411E-2</v>
      </c>
      <c r="J423" s="13">
        <f t="shared" ca="1" si="58"/>
        <v>1.8530130382627609E-2</v>
      </c>
      <c r="K423" s="13">
        <f t="shared" ca="1" si="58"/>
        <v>1.8530130382627609E-2</v>
      </c>
      <c r="L423" s="13">
        <f t="shared" ca="1" si="58"/>
        <v>1.7975022141503833E-2</v>
      </c>
      <c r="M423" s="13">
        <f t="shared" ca="1" si="58"/>
        <v>1.7975022141503833E-2</v>
      </c>
      <c r="N423" s="13">
        <f ca="1">($B$106*B423+$C$106*C423+$D$106*D423+$E$106*E423+$F$106*F423+$G$106*G423+$H$106*H423+$I$106*I423+$J$106*J423+$K$106*K423+$L$106*L423+$M$106*M423)*'Ввод исходных данных'!$G$285</f>
        <v>108.84655372549018</v>
      </c>
    </row>
    <row r="424" spans="1:14" x14ac:dyDescent="0.25">
      <c r="A424" s="13" t="s">
        <v>1858</v>
      </c>
      <c r="B424">
        <f t="shared" ref="B424:M424" ca="1" si="59">0.5*B420</f>
        <v>2.6911338692137809E-2</v>
      </c>
      <c r="C424" s="13">
        <f t="shared" ca="1" si="59"/>
        <v>2.6911338692137809E-2</v>
      </c>
      <c r="D424" s="13">
        <f t="shared" ca="1" si="59"/>
        <v>2.5349898121055175E-2</v>
      </c>
      <c r="E424" s="13">
        <f t="shared" ca="1" si="59"/>
        <v>2.5349898121055175E-2</v>
      </c>
      <c r="F424" s="13">
        <f t="shared" ca="1" si="59"/>
        <v>2.4309997169250773E-2</v>
      </c>
      <c r="G424" s="13">
        <f t="shared" ca="1" si="59"/>
        <v>2.4309997169250773E-2</v>
      </c>
      <c r="H424" s="13">
        <f t="shared" ca="1" si="59"/>
        <v>2.3717983105191763E-2</v>
      </c>
      <c r="I424" s="13">
        <f t="shared" ca="1" si="59"/>
        <v>2.3717983105191763E-2</v>
      </c>
      <c r="J424" s="13">
        <f t="shared" ca="1" si="59"/>
        <v>2.3162662978284509E-2</v>
      </c>
      <c r="K424" s="13">
        <f t="shared" ca="1" si="59"/>
        <v>2.3162662978284509E-2</v>
      </c>
      <c r="L424" s="13">
        <f t="shared" ca="1" si="59"/>
        <v>2.2468777676879791E-2</v>
      </c>
      <c r="M424" s="13">
        <f t="shared" ca="1" si="59"/>
        <v>2.2468777676879791E-2</v>
      </c>
      <c r="N424" s="13">
        <f ca="1">($B$106*B424+$C$106*C424+$D$106*D424+$E$106*E424+$F$106*F424+$G$106*G424+$H$106*H424+$I$106*I424+$J$106*J424+$K$106*K424+$L$106*L424+$M$106*M424)*'Ввод исходных данных'!$G$285</f>
        <v>136.0581921568627</v>
      </c>
    </row>
    <row r="425" spans="1:14" x14ac:dyDescent="0.25">
      <c r="A425" s="13" t="s">
        <v>563</v>
      </c>
      <c r="B425">
        <f t="shared" ref="B425:M425" ca="1" si="60">0.6*B420</f>
        <v>3.2293606430565371E-2</v>
      </c>
      <c r="C425" s="13">
        <f t="shared" ca="1" si="60"/>
        <v>3.2293606430565371E-2</v>
      </c>
      <c r="D425" s="13">
        <f t="shared" ca="1" si="60"/>
        <v>3.0419877745266208E-2</v>
      </c>
      <c r="E425" s="13">
        <f t="shared" ca="1" si="60"/>
        <v>3.0419877745266208E-2</v>
      </c>
      <c r="F425" s="13">
        <f t="shared" ca="1" si="60"/>
        <v>2.9171996603100925E-2</v>
      </c>
      <c r="G425" s="13">
        <f t="shared" ca="1" si="60"/>
        <v>2.9171996603100925E-2</v>
      </c>
      <c r="H425" s="13">
        <f t="shared" ca="1" si="60"/>
        <v>2.8461579726230115E-2</v>
      </c>
      <c r="I425" s="13">
        <f t="shared" ca="1" si="60"/>
        <v>2.8461579726230115E-2</v>
      </c>
      <c r="J425" s="13">
        <f t="shared" ca="1" si="60"/>
        <v>2.779519557394141E-2</v>
      </c>
      <c r="K425" s="13">
        <f t="shared" ca="1" si="60"/>
        <v>2.779519557394141E-2</v>
      </c>
      <c r="L425" s="13">
        <f t="shared" ca="1" si="60"/>
        <v>2.6962533212255748E-2</v>
      </c>
      <c r="M425" s="13">
        <f t="shared" ca="1" si="60"/>
        <v>2.6962533212255748E-2</v>
      </c>
      <c r="N425" s="13">
        <f ca="1">($B$106*B425+$C$106*C425+$D$106*D425+$E$106*E425+$F$106*F425+$G$106*G425+$H$106*H425+$I$106*I425+$J$106*J425+$K$106*K425+$L$106*L425+$M$106*M425)*'Ввод исходных данных'!$G$285</f>
        <v>163.26983058823524</v>
      </c>
    </row>
    <row r="426" spans="1:14" x14ac:dyDescent="0.25">
      <c r="A426" s="13" t="s">
        <v>1789</v>
      </c>
      <c r="B426">
        <f t="shared" ref="B426:M426" ca="1" si="61">0.7*B420</f>
        <v>3.7675874168992929E-2</v>
      </c>
      <c r="C426" s="13">
        <f t="shared" ca="1" si="61"/>
        <v>3.7675874168992929E-2</v>
      </c>
      <c r="D426" s="13">
        <f t="shared" ca="1" si="61"/>
        <v>3.548985736947724E-2</v>
      </c>
      <c r="E426" s="13">
        <f t="shared" ca="1" si="61"/>
        <v>3.548985736947724E-2</v>
      </c>
      <c r="F426" s="13">
        <f t="shared" ca="1" si="61"/>
        <v>3.4033996036951078E-2</v>
      </c>
      <c r="G426" s="13">
        <f t="shared" ca="1" si="61"/>
        <v>3.4033996036951078E-2</v>
      </c>
      <c r="H426" s="13">
        <f t="shared" ca="1" si="61"/>
        <v>3.3205176347268467E-2</v>
      </c>
      <c r="I426" s="13">
        <f t="shared" ca="1" si="61"/>
        <v>3.3205176347268467E-2</v>
      </c>
      <c r="J426" s="13">
        <f t="shared" ca="1" si="61"/>
        <v>3.2427728169598311E-2</v>
      </c>
      <c r="K426" s="13">
        <f t="shared" ca="1" si="61"/>
        <v>3.2427728169598311E-2</v>
      </c>
      <c r="L426" s="13">
        <f t="shared" ca="1" si="61"/>
        <v>3.1456288747631705E-2</v>
      </c>
      <c r="M426" s="13">
        <f t="shared" ca="1" si="61"/>
        <v>3.1456288747631705E-2</v>
      </c>
      <c r="N426" s="13">
        <f ca="1">($B$106*B426+$C$106*C426+$D$106*D426+$E$106*E426+$F$106*F426+$G$106*G426+$H$106*H426+$I$106*I426+$J$106*J426+$K$106*K426+$L$106*L426+$M$106*M426)*'Ввод исходных данных'!$G$285</f>
        <v>190.48146901960777</v>
      </c>
    </row>
    <row r="427" spans="1:14" x14ac:dyDescent="0.25">
      <c r="A427" s="13" t="s">
        <v>1790</v>
      </c>
      <c r="B427">
        <f t="shared" ref="B427:M427" ca="1" si="62">0.85*B420</f>
        <v>4.5749275776634277E-2</v>
      </c>
      <c r="C427" s="13">
        <f t="shared" ca="1" si="62"/>
        <v>4.5749275776634277E-2</v>
      </c>
      <c r="D427" s="13">
        <f t="shared" ca="1" si="62"/>
        <v>4.3094826805793796E-2</v>
      </c>
      <c r="E427" s="13">
        <f t="shared" ca="1" si="62"/>
        <v>4.3094826805793796E-2</v>
      </c>
      <c r="F427" s="13">
        <f t="shared" ca="1" si="62"/>
        <v>4.1326995187726312E-2</v>
      </c>
      <c r="G427" s="13">
        <f t="shared" ca="1" si="62"/>
        <v>4.1326995187726312E-2</v>
      </c>
      <c r="H427" s="13">
        <f t="shared" ca="1" si="62"/>
        <v>4.0320571278825997E-2</v>
      </c>
      <c r="I427" s="13">
        <f t="shared" ca="1" si="62"/>
        <v>4.0320571278825997E-2</v>
      </c>
      <c r="J427" s="13">
        <f t="shared" ca="1" si="62"/>
        <v>3.9376527063083665E-2</v>
      </c>
      <c r="K427" s="13">
        <f t="shared" ca="1" si="62"/>
        <v>3.9376527063083665E-2</v>
      </c>
      <c r="L427" s="13">
        <f t="shared" ca="1" si="62"/>
        <v>3.8196922050695643E-2</v>
      </c>
      <c r="M427" s="13">
        <f t="shared" ca="1" si="62"/>
        <v>3.8196922050695643E-2</v>
      </c>
      <c r="N427" s="13">
        <f ca="1">(B$106*B427+$C$106*C427+$D$106*D427+$E$106*E427+$F$106*F427+$G$106*G427+$H$106*H427+$I$106*I427+$J$106*J427+$K$106*K427+$L$106*L427+$M$106*M427)*'Ввод исходных данных'!$G$285</f>
        <v>231.2989266666666</v>
      </c>
    </row>
    <row r="428" spans="1:14" x14ac:dyDescent="0.25">
      <c r="A428" s="13" t="s">
        <v>1791</v>
      </c>
      <c r="B428">
        <f t="shared" ref="B428:M428" ca="1" si="63">B420</f>
        <v>5.3822677384275618E-2</v>
      </c>
      <c r="C428" s="13">
        <f t="shared" ca="1" si="63"/>
        <v>5.3822677384275618E-2</v>
      </c>
      <c r="D428" s="13">
        <f t="shared" ca="1" si="63"/>
        <v>5.0699796242110351E-2</v>
      </c>
      <c r="E428" s="13">
        <f t="shared" ca="1" si="63"/>
        <v>5.0699796242110351E-2</v>
      </c>
      <c r="F428" s="13">
        <f t="shared" ca="1" si="63"/>
        <v>4.8619994338501546E-2</v>
      </c>
      <c r="G428" s="13">
        <f t="shared" ca="1" si="63"/>
        <v>4.8619994338501546E-2</v>
      </c>
      <c r="H428" s="13">
        <f t="shared" ca="1" si="63"/>
        <v>4.7435966210383526E-2</v>
      </c>
      <c r="I428" s="13">
        <f t="shared" ca="1" si="63"/>
        <v>4.7435966210383526E-2</v>
      </c>
      <c r="J428" s="13">
        <f t="shared" ca="1" si="63"/>
        <v>4.6325325956569019E-2</v>
      </c>
      <c r="K428" s="13">
        <f t="shared" ca="1" si="63"/>
        <v>4.6325325956569019E-2</v>
      </c>
      <c r="L428" s="13">
        <f t="shared" ca="1" si="63"/>
        <v>4.4937555353759581E-2</v>
      </c>
      <c r="M428" s="13">
        <f t="shared" ca="1" si="63"/>
        <v>4.4937555353759581E-2</v>
      </c>
      <c r="N428" s="13">
        <f ca="1">($B$106*B428+$C$106*C428+$D$106*D428+$E$106*E428+$F$106*F428+$G$106*G428+$H$106*H428+$I$106*I428+$J$106*J428+$K$106*K428+$L$106*L428+$M$106*M428)*'Ввод исходных данных'!$G$285</f>
        <v>272.1163843137254</v>
      </c>
    </row>
    <row r="429" spans="1:14" x14ac:dyDescent="0.25">
      <c r="A429" s="13" t="s">
        <v>1792</v>
      </c>
      <c r="B429">
        <f t="shared" ref="B429:M429" ca="1" si="64">B420*1.25</f>
        <v>6.7278346730344524E-2</v>
      </c>
      <c r="C429" s="13">
        <f t="shared" ca="1" si="64"/>
        <v>6.7278346730344524E-2</v>
      </c>
      <c r="D429" s="13">
        <f t="shared" ca="1" si="64"/>
        <v>6.3374745302637939E-2</v>
      </c>
      <c r="E429" s="13">
        <f t="shared" ca="1" si="64"/>
        <v>6.3374745302637939E-2</v>
      </c>
      <c r="F429" s="13">
        <f t="shared" ca="1" si="64"/>
        <v>6.0774992923126936E-2</v>
      </c>
      <c r="G429" s="13">
        <f t="shared" ca="1" si="64"/>
        <v>6.0774992923126936E-2</v>
      </c>
      <c r="H429" s="13">
        <f t="shared" ca="1" si="64"/>
        <v>5.9294957762979411E-2</v>
      </c>
      <c r="I429" s="13">
        <f t="shared" ca="1" si="64"/>
        <v>5.9294957762979411E-2</v>
      </c>
      <c r="J429" s="13">
        <f t="shared" ca="1" si="64"/>
        <v>5.7906657445711274E-2</v>
      </c>
      <c r="K429" s="13">
        <f t="shared" ca="1" si="64"/>
        <v>5.7906657445711274E-2</v>
      </c>
      <c r="L429" s="13">
        <f t="shared" ca="1" si="64"/>
        <v>5.617194419219948E-2</v>
      </c>
      <c r="M429" s="13">
        <f t="shared" ca="1" si="64"/>
        <v>5.617194419219948E-2</v>
      </c>
      <c r="N429" s="13">
        <f ca="1">($B$106*B429+$C$106*C429+$D$106*D429+$E$106*E429+$F$106*F429+$G$106*G429+$H$106*H429+$I$106*I429+$J$106*J429+$K$106*K429+$L$106*L429+$M$106*M429)*'Ввод исходных данных'!$G$285</f>
        <v>340.1454803921568</v>
      </c>
    </row>
    <row r="430" spans="1:14" x14ac:dyDescent="0.25">
      <c r="A430" s="13" t="s">
        <v>1793</v>
      </c>
      <c r="B430">
        <f t="shared" ref="B430:M430" ca="1" si="65">B420*1.5</f>
        <v>8.0734016076413423E-2</v>
      </c>
      <c r="C430" s="13">
        <f t="shared" ca="1" si="65"/>
        <v>8.0734016076413423E-2</v>
      </c>
      <c r="D430" s="13">
        <f t="shared" ca="1" si="65"/>
        <v>7.6049694363165526E-2</v>
      </c>
      <c r="E430" s="13">
        <f t="shared" ca="1" si="65"/>
        <v>7.6049694363165526E-2</v>
      </c>
      <c r="F430" s="13">
        <f t="shared" ca="1" si="65"/>
        <v>7.2929991507752312E-2</v>
      </c>
      <c r="G430" s="13">
        <f t="shared" ca="1" si="65"/>
        <v>7.2929991507752312E-2</v>
      </c>
      <c r="H430" s="13">
        <f t="shared" ca="1" si="65"/>
        <v>7.1153949315575282E-2</v>
      </c>
      <c r="I430" s="13">
        <f t="shared" ca="1" si="65"/>
        <v>7.1153949315575282E-2</v>
      </c>
      <c r="J430" s="13">
        <f t="shared" ca="1" si="65"/>
        <v>6.9487988934853528E-2</v>
      </c>
      <c r="K430" s="13">
        <f t="shared" ca="1" si="65"/>
        <v>6.9487988934853528E-2</v>
      </c>
      <c r="L430" s="13">
        <f t="shared" ca="1" si="65"/>
        <v>6.7406333030639365E-2</v>
      </c>
      <c r="M430" s="13">
        <f t="shared" ca="1" si="65"/>
        <v>6.7406333030639365E-2</v>
      </c>
      <c r="N430" s="13">
        <f ca="1">($B$106*B430+$C$106*C430+$D$106*D430+$E$106*E430+$F$106*F430+$G$106*G430+$H$106*H430+$I$106*I430+$J$106*J430+$K$106*K430+$L$106*L430+$M$106*M430)*'Ввод исходных данных'!$G$285</f>
        <v>408.17457647058808</v>
      </c>
    </row>
    <row r="431" spans="1:14" x14ac:dyDescent="0.25">
      <c r="A431" s="13" t="s">
        <v>1794</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 zoomScale="90" zoomScaleNormal="90" zoomScaleSheetLayoutView="70" workbookViewId="0">
      <selection activeCell="D9" sqref="D9"/>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3" customFormat="1" ht="15" customHeight="1" x14ac:dyDescent="0.25">
      <c r="A1" s="1323"/>
      <c r="B1" s="1324"/>
      <c r="C1" s="1271" t="s">
        <v>2501</v>
      </c>
      <c r="D1" s="1376"/>
      <c r="E1" s="1968" t="s">
        <v>1570</v>
      </c>
      <c r="F1" s="1968"/>
      <c r="G1" s="1968"/>
      <c r="H1" s="1324"/>
      <c r="I1" s="1323"/>
    </row>
    <row r="2" spans="1:9" ht="7.5" customHeight="1" x14ac:dyDescent="0.25">
      <c r="A2" s="1323"/>
      <c r="B2" s="1324"/>
      <c r="C2" s="1537"/>
      <c r="D2" s="1537"/>
      <c r="E2" s="1324"/>
      <c r="F2" s="1324"/>
      <c r="G2" s="1324"/>
      <c r="H2" s="1324"/>
      <c r="I2" s="1323"/>
    </row>
    <row r="3" spans="1:9" ht="9.75" customHeight="1" x14ac:dyDescent="0.25">
      <c r="A3" s="1323"/>
      <c r="B3" s="1324"/>
      <c r="C3" s="1969" t="s">
        <v>1873</v>
      </c>
      <c r="D3" s="1970"/>
      <c r="E3" s="1555" t="s">
        <v>1662</v>
      </c>
      <c r="F3" s="1324"/>
      <c r="G3" s="1324"/>
      <c r="H3" s="1324"/>
      <c r="I3" s="1323"/>
    </row>
    <row r="4" spans="1:9" ht="15" customHeight="1" x14ac:dyDescent="0.25">
      <c r="A4" s="1323"/>
      <c r="B4" s="1324"/>
      <c r="C4" s="1969"/>
      <c r="D4" s="1971"/>
      <c r="E4" s="436" t="s">
        <v>1677</v>
      </c>
      <c r="F4" s="1324"/>
      <c r="G4" s="1324"/>
      <c r="H4" s="1324"/>
      <c r="I4" s="1323"/>
    </row>
    <row r="5" spans="1:9" ht="15" customHeight="1" x14ac:dyDescent="0.25">
      <c r="A5" s="1323"/>
      <c r="B5" s="1324"/>
      <c r="C5" s="1972" t="s">
        <v>1896</v>
      </c>
      <c r="D5" s="1973"/>
      <c r="E5" s="1538" t="s">
        <v>1660</v>
      </c>
      <c r="F5" s="1324"/>
      <c r="G5" s="1324"/>
      <c r="H5" s="1324"/>
      <c r="I5" s="1323"/>
    </row>
    <row r="6" spans="1:9" ht="15" customHeight="1" x14ac:dyDescent="0.25">
      <c r="A6" s="1323"/>
      <c r="B6" s="1324"/>
      <c r="C6" s="1974"/>
      <c r="D6" s="1973"/>
      <c r="E6" s="1539" t="s">
        <v>1374</v>
      </c>
      <c r="F6" s="1324"/>
      <c r="G6" s="1324"/>
      <c r="H6" s="1324"/>
      <c r="I6" s="1323"/>
    </row>
    <row r="7" spans="1:9" ht="7.5" customHeight="1" x14ac:dyDescent="0.25">
      <c r="A7" s="1323"/>
      <c r="B7" s="1324"/>
      <c r="C7" s="1540"/>
      <c r="D7" s="1540"/>
      <c r="E7" s="1541"/>
      <c r="F7" s="1324"/>
      <c r="G7" s="1324"/>
      <c r="H7" s="1324"/>
      <c r="I7" s="1323"/>
    </row>
    <row r="8" spans="1:9" ht="30" customHeight="1" x14ac:dyDescent="0.25">
      <c r="A8" s="1323"/>
      <c r="B8" s="1324"/>
      <c r="C8" s="1975" t="s">
        <v>1911</v>
      </c>
      <c r="D8" s="1975"/>
      <c r="E8" s="1975"/>
      <c r="F8" s="1975"/>
      <c r="G8" s="1377"/>
      <c r="H8" s="1323"/>
      <c r="I8" s="1323"/>
    </row>
    <row r="9" spans="1:9" ht="15" customHeight="1" x14ac:dyDescent="0.25">
      <c r="A9" s="1323"/>
      <c r="B9" s="1332">
        <v>1</v>
      </c>
      <c r="C9" s="1542" t="s">
        <v>752</v>
      </c>
      <c r="D9" s="1543" t="s">
        <v>2407</v>
      </c>
      <c r="E9" s="1954" t="s">
        <v>1891</v>
      </c>
      <c r="F9" s="1950"/>
      <c r="G9" s="1308">
        <f>IF(OR(D9=INDEX(РегионыСписок,1),D9=""),0,1)</f>
        <v>0</v>
      </c>
      <c r="H9" s="1324"/>
      <c r="I9" s="1323"/>
    </row>
    <row r="10" spans="1:9" ht="15" x14ac:dyDescent="0.25">
      <c r="A10" s="1323"/>
      <c r="B10" s="1332">
        <v>2</v>
      </c>
      <c r="C10" s="1544" t="s">
        <v>753</v>
      </c>
      <c r="D10" s="1545" t="s">
        <v>2407</v>
      </c>
      <c r="E10" s="1946"/>
      <c r="F10" s="1947"/>
      <c r="G10" s="1308">
        <f>IF(OR(D10="Пожалуйста, выберите",D10=""),0,1)</f>
        <v>1</v>
      </c>
      <c r="H10" s="1324"/>
      <c r="I10" s="1323"/>
    </row>
    <row r="11" spans="1:9" ht="15" x14ac:dyDescent="0.25">
      <c r="A11" s="1323"/>
      <c r="B11" s="1332" t="s">
        <v>1874</v>
      </c>
      <c r="C11" s="1546" t="s">
        <v>462</v>
      </c>
      <c r="D11" s="1378" t="str">
        <f>IFERROR(VLOOKUP(CONCATENATE($D$9,$D$10),Климатология!$D$9:$BF$548,6,0),"")</f>
        <v/>
      </c>
      <c r="E11" s="1958"/>
      <c r="F11" s="1959"/>
      <c r="G11" s="1308">
        <f t="shared" ref="G11:G24" si="0">IF(D11="",0,1)</f>
        <v>0</v>
      </c>
      <c r="H11" s="1324"/>
      <c r="I11" s="1323"/>
    </row>
    <row r="12" spans="1:9" ht="15" x14ac:dyDescent="0.25">
      <c r="A12" s="1323"/>
      <c r="B12" s="1332" t="s">
        <v>1875</v>
      </c>
      <c r="C12" s="1544" t="s">
        <v>805</v>
      </c>
      <c r="D12" s="1545"/>
      <c r="E12" s="1958" t="s">
        <v>1664</v>
      </c>
      <c r="F12" s="1959"/>
      <c r="G12" s="1308">
        <f t="shared" si="0"/>
        <v>0</v>
      </c>
      <c r="H12" s="1324"/>
      <c r="I12" s="1323"/>
    </row>
    <row r="13" spans="1:9" ht="15" x14ac:dyDescent="0.25">
      <c r="A13" s="1323"/>
      <c r="B13" s="1332" t="s">
        <v>1876</v>
      </c>
      <c r="C13" s="1544" t="s">
        <v>1859</v>
      </c>
      <c r="D13" s="1547"/>
      <c r="E13" s="1958"/>
      <c r="F13" s="1959"/>
      <c r="G13" s="1308">
        <f t="shared" si="0"/>
        <v>0</v>
      </c>
      <c r="H13" s="1324"/>
      <c r="I13" s="1323"/>
    </row>
    <row r="14" spans="1:9" ht="15" customHeight="1" x14ac:dyDescent="0.25">
      <c r="A14" s="1323"/>
      <c r="B14" s="1332" t="s">
        <v>1877</v>
      </c>
      <c r="C14" s="1546" t="s">
        <v>1885</v>
      </c>
      <c r="D14" s="1547"/>
      <c r="E14" s="1958" t="s">
        <v>2022</v>
      </c>
      <c r="F14" s="1959"/>
      <c r="G14" s="1308">
        <f t="shared" si="0"/>
        <v>0</v>
      </c>
      <c r="H14" s="1324"/>
      <c r="I14" s="1323"/>
    </row>
    <row r="15" spans="1:9" ht="15" x14ac:dyDescent="0.25">
      <c r="A15" s="1323"/>
      <c r="B15" s="1332" t="s">
        <v>1878</v>
      </c>
      <c r="C15" s="1546" t="s">
        <v>1986</v>
      </c>
      <c r="D15" s="1545" t="s">
        <v>467</v>
      </c>
      <c r="E15" s="1958"/>
      <c r="F15" s="1959"/>
      <c r="G15" s="1308">
        <f>IF(OR(D15=INDEX(danet,1),D15=""),0,1)</f>
        <v>1</v>
      </c>
      <c r="H15" s="1324"/>
      <c r="I15" s="1323"/>
    </row>
    <row r="16" spans="1:9" ht="15" x14ac:dyDescent="0.25">
      <c r="A16" s="1323"/>
      <c r="B16" s="1332" t="s">
        <v>1879</v>
      </c>
      <c r="C16" s="1546" t="s">
        <v>1900</v>
      </c>
      <c r="D16" s="1545" t="s">
        <v>467</v>
      </c>
      <c r="E16" s="1958" t="s">
        <v>1985</v>
      </c>
      <c r="F16" s="1959"/>
      <c r="G16" s="1308">
        <f>IF(OR(D16=INDEX(danet,1),D16=""),0,1)</f>
        <v>1</v>
      </c>
      <c r="H16" s="1324"/>
      <c r="I16" s="1323"/>
    </row>
    <row r="17" spans="1:9" s="51" customFormat="1" ht="15" x14ac:dyDescent="0.25">
      <c r="A17" s="1323"/>
      <c r="B17" s="1332" t="s">
        <v>1880</v>
      </c>
      <c r="C17" s="1548" t="s">
        <v>1907</v>
      </c>
      <c r="D17" s="1549"/>
      <c r="E17" s="1954" t="str">
        <f>IF(D16=INDEX(danet,1),"выберите способ учета теплоэнергии",IF(D16=INDEX(danet,3),"не заполняйте, если нет совместного учета расхода теплоэнергии",""))</f>
        <v>не заполняйте, если нет совместного учета расхода теплоэнергии</v>
      </c>
      <c r="F17" s="1955"/>
      <c r="G17" s="1308">
        <f>IF(AND($D$16=INDEX(danet,2),D17=""),0,IF(D16=INDEX(danet,1),0,1))</f>
        <v>1</v>
      </c>
      <c r="H17" s="1324"/>
      <c r="I17" s="1323"/>
    </row>
    <row r="18" spans="1:9" s="51" customFormat="1" ht="15" x14ac:dyDescent="0.25">
      <c r="A18" s="1323"/>
      <c r="B18" s="1332" t="s">
        <v>1901</v>
      </c>
      <c r="C18" s="1550" t="s">
        <v>496</v>
      </c>
      <c r="D18" s="1420">
        <f>IF(D17="",0,IFERROR(D17/0.00086,0))</f>
        <v>0</v>
      </c>
      <c r="E18" s="1956"/>
      <c r="F18" s="1957"/>
      <c r="G18" s="1308">
        <f>IF(D18="",0,1)</f>
        <v>1</v>
      </c>
      <c r="H18" s="1324"/>
      <c r="I18" s="1323"/>
    </row>
    <row r="19" spans="1:9" s="51" customFormat="1" ht="15" x14ac:dyDescent="0.25">
      <c r="A19" s="1323"/>
      <c r="B19" s="1332" t="s">
        <v>1881</v>
      </c>
      <c r="C19" s="1548" t="s">
        <v>1894</v>
      </c>
      <c r="D19" s="1549"/>
      <c r="E19" s="1954" t="str">
        <f>IF(D16=INDEX(danet,1),"выберите способ учета теплоэнергии",IF(D16=INDEX(danet,2),"не заполняйте, если нет отдельного учета расхода теплоэнергии на отопление",""))</f>
        <v/>
      </c>
      <c r="F19" s="1955"/>
      <c r="G19" s="1308">
        <f>IF(AND($D$16=INDEX(danet,3),D19=""),0,IF($D$16=INDEX(danet,1),0,1))</f>
        <v>0</v>
      </c>
      <c r="H19" s="1324"/>
      <c r="I19" s="1323"/>
    </row>
    <row r="20" spans="1:9" s="51" customFormat="1" ht="15" customHeight="1" x14ac:dyDescent="0.25">
      <c r="A20" s="1323"/>
      <c r="B20" s="1332" t="s">
        <v>1902</v>
      </c>
      <c r="C20" s="1550" t="s">
        <v>496</v>
      </c>
      <c r="D20" s="1420">
        <f>IF(D19="",0,IFERROR(D19/0.00086,0))</f>
        <v>0</v>
      </c>
      <c r="E20" s="1956"/>
      <c r="F20" s="1957"/>
      <c r="G20" s="1308">
        <f t="shared" si="0"/>
        <v>1</v>
      </c>
      <c r="H20" s="1324"/>
      <c r="I20" s="1323"/>
    </row>
    <row r="21" spans="1:9" s="51" customFormat="1" ht="15" x14ac:dyDescent="0.25">
      <c r="A21" s="1323"/>
      <c r="B21" s="1332" t="s">
        <v>1860</v>
      </c>
      <c r="C21" s="1548" t="s">
        <v>1893</v>
      </c>
      <c r="D21" s="1549"/>
      <c r="E21" s="1954" t="str">
        <f>IF(D16=INDEX(danet,1),"выберите способ учета теплоэнергии",IF(D16=INDEX(danet,2),"не заполняйте, если нет отдельного учета расхода теплоэнергии на ГВС",""))</f>
        <v/>
      </c>
      <c r="F21" s="1955"/>
      <c r="G21" s="1308">
        <f>IF(AND($D$16=INDEX(danet,3),D21=""),0,IF($D$16=INDEX(danet,1),0,1))</f>
        <v>0</v>
      </c>
      <c r="H21" s="1324"/>
      <c r="I21" s="1323"/>
    </row>
    <row r="22" spans="1:9" s="51" customFormat="1" ht="15" customHeight="1" x14ac:dyDescent="0.25">
      <c r="A22" s="1323"/>
      <c r="B22" s="1332" t="s">
        <v>1987</v>
      </c>
      <c r="C22" s="1550" t="s">
        <v>496</v>
      </c>
      <c r="D22" s="1420">
        <f>IF(D21="",0,IFERROR(D21/0.00086,0))</f>
        <v>0</v>
      </c>
      <c r="E22" s="1956"/>
      <c r="F22" s="1957"/>
      <c r="G22" s="1308">
        <f t="shared" si="0"/>
        <v>1</v>
      </c>
      <c r="H22" s="1324"/>
      <c r="I22" s="1323"/>
    </row>
    <row r="23" spans="1:9" s="51" customFormat="1" ht="15" x14ac:dyDescent="0.25">
      <c r="A23" s="1323"/>
      <c r="B23" s="1332" t="s">
        <v>1861</v>
      </c>
      <c r="C23" s="1546" t="s">
        <v>1899</v>
      </c>
      <c r="D23" s="1547"/>
      <c r="E23" s="1958" t="s">
        <v>1984</v>
      </c>
      <c r="F23" s="1959"/>
      <c r="G23" s="1308">
        <f>IF(D23="",0,1)</f>
        <v>0</v>
      </c>
      <c r="H23" s="1324"/>
      <c r="I23" s="1323"/>
    </row>
    <row r="24" spans="1:9" s="51" customFormat="1" ht="15" x14ac:dyDescent="0.25">
      <c r="A24" s="1323"/>
      <c r="B24" s="1332" t="s">
        <v>1862</v>
      </c>
      <c r="C24" s="1546" t="s">
        <v>1892</v>
      </c>
      <c r="D24" s="1561">
        <f>IF(D16="да",D18+IF(D23="",IF(D15="да",10*D14,7*D14),D23),D20+IF(OR(D21="",D21=0),135*D14,D22)+IF(D23="",IF(D15="да",10*D14,7*D14),D23))</f>
        <v>0</v>
      </c>
      <c r="E24" s="1958"/>
      <c r="F24" s="1959"/>
      <c r="G24" s="1308">
        <f t="shared" si="0"/>
        <v>1</v>
      </c>
      <c r="H24" s="1324"/>
      <c r="I24" s="1323"/>
    </row>
    <row r="25" spans="1:9" s="51" customFormat="1" ht="32.25" x14ac:dyDescent="0.25">
      <c r="A25" s="1323"/>
      <c r="B25" s="1332" t="s">
        <v>1863</v>
      </c>
      <c r="C25" s="1551" t="s">
        <v>2128</v>
      </c>
      <c r="D25" s="1379">
        <f>IF(D20=0,0,IFERROR(D20/D14/D11,0))</f>
        <v>0</v>
      </c>
      <c r="E25" s="1958"/>
      <c r="F25" s="1959"/>
      <c r="G25" s="1308">
        <f>IF(D25="",0,1)</f>
        <v>1</v>
      </c>
      <c r="H25" s="1324"/>
      <c r="I25" s="1323"/>
    </row>
    <row r="26" spans="1:9" s="51" customFormat="1" ht="32.25" x14ac:dyDescent="0.25">
      <c r="A26" s="1323"/>
      <c r="B26" s="1332" t="s">
        <v>1866</v>
      </c>
      <c r="C26" s="1546" t="s">
        <v>1895</v>
      </c>
      <c r="D26" s="1379">
        <f>IF(D22=0,0,IFERROR(D22/D14,0))</f>
        <v>0</v>
      </c>
      <c r="E26" s="1958"/>
      <c r="F26" s="1959"/>
      <c r="G26" s="1308">
        <f>IF(D26="",0,1)</f>
        <v>1</v>
      </c>
      <c r="H26" s="1324"/>
      <c r="I26" s="1323"/>
    </row>
    <row r="27" spans="1:9" s="51" customFormat="1" ht="32.25" x14ac:dyDescent="0.25">
      <c r="A27" s="1323"/>
      <c r="B27" s="1332" t="s">
        <v>1868</v>
      </c>
      <c r="C27" s="1546" t="s">
        <v>1886</v>
      </c>
      <c r="D27" s="1379">
        <f>IF(D24=0,0,IFERROR(D24/D14,0))</f>
        <v>0</v>
      </c>
      <c r="E27" s="1958"/>
      <c r="F27" s="1959"/>
      <c r="G27" s="1308">
        <f>IF(D27="",0,1)</f>
        <v>1</v>
      </c>
      <c r="H27" s="1324"/>
      <c r="I27" s="1323"/>
    </row>
    <row r="28" spans="1:9" s="51" customFormat="1" ht="32.25" x14ac:dyDescent="0.25">
      <c r="A28" s="1323"/>
      <c r="B28" s="1332" t="s">
        <v>1869</v>
      </c>
      <c r="C28" s="1546" t="s">
        <v>2127</v>
      </c>
      <c r="D28" s="1379">
        <f>IF(D24=0,0,IFERROR(D24/D14/D11,0))</f>
        <v>0</v>
      </c>
      <c r="E28" s="1958"/>
      <c r="F28" s="1959"/>
      <c r="G28" s="1308">
        <f>IF(D28="",0,1)</f>
        <v>1</v>
      </c>
      <c r="H28" s="1324"/>
      <c r="I28" s="1323"/>
    </row>
    <row r="29" spans="1:9" s="51" customFormat="1" ht="15" x14ac:dyDescent="0.25">
      <c r="A29" s="1323"/>
      <c r="B29" s="1323"/>
      <c r="C29" s="1323"/>
      <c r="D29" s="1397" t="str">
        <f>IF(AND(D17="",D19=""),"Для расчета необходимо ввести хотя бы годовой расход теплоэнергии на отопление (поле № 9), или годовой расход теплоэнергии всего (поле № 8)","")</f>
        <v>Для расчета необходимо ввести хотя бы годовой расход теплоэнергии на отопление (поле № 9), или годовой расход теплоэнергии всего (поле № 8)</v>
      </c>
      <c r="E29" s="1323"/>
      <c r="F29" s="1779"/>
      <c r="G29" s="1779"/>
      <c r="H29" s="1323"/>
      <c r="I29" s="1323"/>
    </row>
    <row r="30" spans="1:9" s="51" customFormat="1" ht="30" customHeight="1" x14ac:dyDescent="0.25">
      <c r="A30" s="1323"/>
      <c r="B30" s="1323"/>
      <c r="C30" s="1960" t="s">
        <v>2474</v>
      </c>
      <c r="D30" s="1960"/>
      <c r="E30" s="1961"/>
      <c r="F30" s="1386" t="s">
        <v>1889</v>
      </c>
      <c r="G30" s="1394"/>
      <c r="H30" s="1323"/>
      <c r="I30" s="1323"/>
    </row>
    <row r="31" spans="1:9" s="51" customFormat="1" ht="30" customHeight="1" thickBot="1" x14ac:dyDescent="0.3">
      <c r="A31" s="1323"/>
      <c r="B31" s="1332"/>
      <c r="C31" s="1948"/>
      <c r="D31" s="1960"/>
      <c r="E31" s="1962"/>
      <c r="F31" s="1387" t="s">
        <v>1890</v>
      </c>
      <c r="G31" s="1552"/>
      <c r="H31" s="1324"/>
      <c r="I31" s="1323"/>
    </row>
    <row r="32" spans="1:9" s="51" customFormat="1" ht="30" customHeight="1" thickBot="1" x14ac:dyDescent="0.3">
      <c r="A32" s="1323"/>
      <c r="B32" s="1332" t="s">
        <v>1870</v>
      </c>
      <c r="C32" s="1553" t="s">
        <v>1867</v>
      </c>
      <c r="D32" s="1419"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не определен</v>
      </c>
      <c r="E32" s="1777" t="str">
        <f>IFERROR(VLOOKUP(D32,'классы ЭЭ и выбросы ПГ'!$C$27:$F$35,4,FALSE),"определяется, если заполнено поле №8 или №9 и нет ошибок ввода")</f>
        <v>определяется, если заполнено поле №8 или №9 и нет ошибок ввода</v>
      </c>
      <c r="F32" s="1388" t="s">
        <v>1788</v>
      </c>
      <c r="G32" s="1552"/>
      <c r="H32" s="1324"/>
      <c r="I32" s="1323"/>
    </row>
    <row r="33" spans="1:9" s="51" customFormat="1" ht="30" customHeight="1" x14ac:dyDescent="0.25">
      <c r="A33" s="1323"/>
      <c r="B33" s="1332" t="s">
        <v>1872</v>
      </c>
      <c r="C33" s="1548" t="s">
        <v>1887</v>
      </c>
      <c r="D33" s="1380" t="str">
        <f>IF(OR(D27=0,D13="",D17+D19=0),"определяется, если нет ошибок ввода",IFERROR(MAX(0,D14*(D27-'классы ЭЭ и выбросы ПГ'!AO12)),""))</f>
        <v>определяется, если нет ошибок ввода</v>
      </c>
      <c r="E33" s="1385" t="str">
        <f>CONCATENATE("по сравнению с базовым уровнем для зданий ",D13," эт. согласно приказу Минстроя №399")</f>
        <v>по сравнению с базовым уровнем для зданий  эт. согласно приказу Минстроя №399</v>
      </c>
      <c r="F33" s="1389" t="s">
        <v>1789</v>
      </c>
      <c r="G33" s="1552"/>
      <c r="H33" s="1324"/>
      <c r="I33" s="1323"/>
    </row>
    <row r="34" spans="1:9" s="51" customFormat="1" ht="30" customHeight="1" x14ac:dyDescent="0.25">
      <c r="A34" s="1323"/>
      <c r="B34" s="1332" t="s">
        <v>1882</v>
      </c>
      <c r="C34" s="1550" t="s">
        <v>1164</v>
      </c>
      <c r="D34" s="1381" t="str">
        <f>IFERROR(D33/D24,"")</f>
        <v/>
      </c>
      <c r="E34" s="1382" t="s">
        <v>2401</v>
      </c>
      <c r="F34" s="1390" t="s">
        <v>1790</v>
      </c>
      <c r="G34" s="1552"/>
      <c r="H34" s="1324"/>
      <c r="I34" s="1323"/>
    </row>
    <row r="35" spans="1:9" s="51" customFormat="1" ht="30" customHeight="1" x14ac:dyDescent="0.25">
      <c r="A35" s="1323"/>
      <c r="B35" s="1332" t="s">
        <v>1897</v>
      </c>
      <c r="C35" s="1548" t="s">
        <v>1888</v>
      </c>
      <c r="D35" s="1383" t="str">
        <f>IF(OR(D27=0,D13="",D17+D19=0),"определяется, если заполнено поле №6 и нет ошибок ввода",IFERROR(MAX(0,D14*(D27-0.4*'классы ЭЭ и выбросы ПГ'!AO12)),""))</f>
        <v>определяется, если заполнено поле №6 и нет ошибок ввода</v>
      </c>
      <c r="E35" s="1385" t="str">
        <f>CONCATENATE("по сравнению с уровнем А++ для зданий ",D13," эт. согласно приказу Минстроя №399")</f>
        <v>по сравнению с уровнем А++ для зданий  эт. согласно приказу Минстроя №399</v>
      </c>
      <c r="F35" s="1391" t="s">
        <v>1791</v>
      </c>
      <c r="G35" s="1552"/>
      <c r="H35" s="1324"/>
      <c r="I35" s="1323"/>
    </row>
    <row r="36" spans="1:9" s="51" customFormat="1" ht="30" customHeight="1" x14ac:dyDescent="0.25">
      <c r="A36" s="1323"/>
      <c r="B36" s="1332" t="s">
        <v>1898</v>
      </c>
      <c r="C36" s="1550" t="s">
        <v>1164</v>
      </c>
      <c r="D36" s="1381" t="str">
        <f>IFERROR(D35/D24,"")</f>
        <v/>
      </c>
      <c r="E36" s="1382" t="s">
        <v>2401</v>
      </c>
      <c r="F36" s="1392" t="s">
        <v>1792</v>
      </c>
      <c r="G36" s="1552"/>
      <c r="H36" s="1324"/>
      <c r="I36" s="1323"/>
    </row>
    <row r="37" spans="1:9" s="51" customFormat="1" ht="30" customHeight="1" x14ac:dyDescent="0.35">
      <c r="A37" s="1323"/>
      <c r="B37" s="1323"/>
      <c r="C37" s="1963" t="str">
        <f>IFERROR(IF(OR(D27="",D13=""),
                   "",
                    CONCATENATE(
                                        "Потребление энергоресурсов в этом МКД выше, чем в ",
                                        MATCH(0,'кривые-экспресс'!$W$5:$W$104,-1)-1,
                                        "% аналогичных* МКД в России!")),"")</f>
        <v/>
      </c>
      <c r="D37" s="1963"/>
      <c r="E37" s="1964"/>
      <c r="F37" s="1392" t="s">
        <v>1793</v>
      </c>
      <c r="G37" s="1395"/>
      <c r="H37" s="1323"/>
      <c r="I37" s="1323"/>
    </row>
    <row r="38" spans="1:9" s="51" customFormat="1" ht="30" customHeight="1" x14ac:dyDescent="0.25">
      <c r="A38" s="1323"/>
      <c r="B38" s="1323"/>
      <c r="C38" s="1965" t="str">
        <f>IF(OR(D12="",D13="",C37=""),"",
            "* - многоквартирных домов, построенных "&amp;
            IF(D12&lt;2000,"до","после")&amp;
            " 2000 года с количеством этажей "&amp;
            IF(D13&lt;=2,"1-2",IF(D13&lt;=4,"3-4",IF(D13&lt;=6,"5-6",IF(D13&lt;=8,"7-8",IF(D13&lt;=10,"9-10","более 10"))))))</f>
        <v/>
      </c>
      <c r="D38" s="1965"/>
      <c r="E38" s="1966"/>
      <c r="F38" s="1393" t="s">
        <v>1794</v>
      </c>
      <c r="G38" s="1395"/>
      <c r="H38" s="1323"/>
      <c r="I38" s="1323"/>
    </row>
    <row r="39" spans="1:9" s="51" customFormat="1" ht="22.5" customHeight="1" x14ac:dyDescent="0.25">
      <c r="A39" s="1323"/>
      <c r="B39" s="1323"/>
      <c r="C39" s="1967"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67"/>
      <c r="E39" s="1967"/>
      <c r="F39" s="1967"/>
      <c r="G39" s="1778"/>
      <c r="H39" s="1323"/>
      <c r="I39" s="1323"/>
    </row>
    <row r="40" spans="1:9" s="51" customFormat="1" ht="30" customHeight="1" x14ac:dyDescent="0.25">
      <c r="A40" s="1323"/>
      <c r="B40" s="1323"/>
      <c r="C40" s="1951"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
      </c>
      <c r="D40" s="1951"/>
      <c r="E40" s="1951"/>
      <c r="F40" s="1951"/>
      <c r="G40" s="1323"/>
      <c r="H40" s="1323"/>
      <c r="I40" s="1323"/>
    </row>
    <row r="41" spans="1:9" s="51" customFormat="1" ht="15" customHeight="1" x14ac:dyDescent="0.25">
      <c r="A41" s="1323"/>
      <c r="B41" s="1323"/>
      <c r="C41" s="1952"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52"/>
      <c r="E41" s="1952"/>
      <c r="F41" s="1952"/>
      <c r="G41" s="1323"/>
      <c r="H41" s="1323"/>
      <c r="I41" s="1323"/>
    </row>
    <row r="42" spans="1:9" s="51" customFormat="1" ht="15" customHeight="1" x14ac:dyDescent="0.25">
      <c r="A42" s="1323"/>
      <c r="B42" s="1323"/>
      <c r="C42" s="1953"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53"/>
      <c r="E42" s="1953"/>
      <c r="F42" s="1953"/>
      <c r="G42" s="1323"/>
      <c r="H42" s="1323"/>
      <c r="I42" s="1323"/>
    </row>
    <row r="43" spans="1:9" s="51" customFormat="1" ht="19.5" customHeight="1" thickBot="1" x14ac:dyDescent="0.3">
      <c r="A43" s="1323"/>
      <c r="B43" s="1323"/>
      <c r="C43" s="1323"/>
      <c r="D43" s="1554" t="s">
        <v>1991</v>
      </c>
      <c r="E43" s="1323"/>
      <c r="F43" s="1323"/>
      <c r="G43" s="1323"/>
      <c r="H43" s="1323"/>
      <c r="I43" s="1323"/>
    </row>
    <row r="44" spans="1:9" s="51" customFormat="1" ht="15" x14ac:dyDescent="0.25">
      <c r="A44" s="1323"/>
      <c r="B44" s="1323"/>
      <c r="C44" s="1323"/>
      <c r="D44" s="1323"/>
      <c r="E44" s="1323"/>
      <c r="F44" s="1323"/>
      <c r="G44" s="1323"/>
      <c r="H44" s="1323"/>
      <c r="I44" s="1323"/>
    </row>
    <row r="45" spans="1:9" s="51" customFormat="1" ht="15" x14ac:dyDescent="0.25">
      <c r="A45" s="1323"/>
      <c r="B45" s="1323"/>
      <c r="C45" s="1323"/>
      <c r="D45" s="1323"/>
      <c r="E45" s="1323"/>
      <c r="F45" s="1323"/>
      <c r="G45" s="1323"/>
      <c r="H45" s="1323"/>
      <c r="I45" s="1323"/>
    </row>
    <row r="46" spans="1:9" s="51" customFormat="1" ht="15" x14ac:dyDescent="0.25">
      <c r="A46" s="1323"/>
      <c r="B46" s="1323"/>
      <c r="C46" s="1323"/>
      <c r="D46" s="1323"/>
      <c r="E46" s="1323"/>
      <c r="F46" s="1323"/>
      <c r="G46" s="1323"/>
      <c r="H46" s="1323"/>
      <c r="I46" s="1323"/>
    </row>
    <row r="47" spans="1:9" s="51" customFormat="1" ht="15" x14ac:dyDescent="0.25">
      <c r="A47" s="1323"/>
      <c r="B47" s="1323"/>
      <c r="C47" s="1323"/>
      <c r="D47" s="1323"/>
      <c r="E47" s="1323"/>
      <c r="F47" s="1323"/>
      <c r="G47" s="1323"/>
      <c r="H47" s="1323"/>
      <c r="I47" s="1323"/>
    </row>
    <row r="48" spans="1:9" s="51" customFormat="1" ht="15" x14ac:dyDescent="0.25">
      <c r="A48" s="1323"/>
      <c r="B48" s="1323"/>
      <c r="C48" s="1323"/>
      <c r="D48" s="1323"/>
      <c r="E48" s="1323"/>
      <c r="F48" s="1323"/>
      <c r="G48" s="1323"/>
      <c r="H48" s="1323"/>
      <c r="I48" s="1323"/>
    </row>
    <row r="49" spans="1:9" s="51" customFormat="1" ht="15" x14ac:dyDescent="0.25">
      <c r="A49" s="1323"/>
      <c r="B49" s="1323"/>
      <c r="C49" s="1323"/>
      <c r="D49" s="1323"/>
      <c r="E49" s="1323"/>
      <c r="F49" s="1323"/>
      <c r="G49" s="1323"/>
      <c r="H49" s="1323"/>
      <c r="I49" s="1323"/>
    </row>
    <row r="50" spans="1:9" s="51" customFormat="1" ht="15" x14ac:dyDescent="0.25">
      <c r="A50" s="1323"/>
      <c r="B50" s="1323"/>
      <c r="C50" s="1323"/>
      <c r="D50" s="1323"/>
      <c r="E50" s="1323"/>
      <c r="F50" s="1323"/>
      <c r="G50" s="1323"/>
      <c r="H50" s="1323"/>
      <c r="I50" s="1323"/>
    </row>
    <row r="51" spans="1:9" s="51" customFormat="1" ht="15" x14ac:dyDescent="0.25">
      <c r="A51" s="1323"/>
      <c r="B51" s="1323"/>
      <c r="C51" s="1323"/>
      <c r="D51" s="1323"/>
      <c r="E51" s="1323"/>
      <c r="F51" s="1323"/>
      <c r="G51" s="1323"/>
      <c r="H51" s="1323"/>
      <c r="I51" s="1323"/>
    </row>
    <row r="52" spans="1:9" s="51" customFormat="1" ht="15" x14ac:dyDescent="0.25">
      <c r="A52" s="1323"/>
      <c r="B52" s="1323"/>
      <c r="C52" s="1323"/>
      <c r="D52" s="1323"/>
      <c r="E52" s="1323"/>
      <c r="F52" s="1323"/>
      <c r="G52" s="1323"/>
      <c r="H52" s="1323"/>
      <c r="I52" s="1323"/>
    </row>
    <row r="53" spans="1:9" s="51" customFormat="1" ht="15" x14ac:dyDescent="0.25">
      <c r="A53" s="1323"/>
      <c r="B53" s="1323"/>
      <c r="C53" s="1323"/>
      <c r="D53" s="1323"/>
      <c r="E53" s="1323"/>
      <c r="F53" s="1323"/>
      <c r="G53" s="1323"/>
      <c r="H53" s="1323"/>
      <c r="I53" s="1323"/>
    </row>
    <row r="54" spans="1:9" s="51" customFormat="1" ht="15" x14ac:dyDescent="0.25">
      <c r="A54" s="1323"/>
      <c r="B54" s="1323"/>
      <c r="C54" s="1323"/>
      <c r="D54" s="1323"/>
      <c r="E54" s="1323"/>
      <c r="F54" s="1323"/>
      <c r="G54" s="1323"/>
      <c r="H54" s="1323"/>
      <c r="I54" s="1323"/>
    </row>
    <row r="55" spans="1:9" s="51" customFormat="1" ht="15" x14ac:dyDescent="0.25">
      <c r="A55" s="1323"/>
      <c r="B55" s="1323"/>
      <c r="C55" s="1323"/>
      <c r="D55" s="1323"/>
      <c r="E55" s="1323"/>
      <c r="F55" s="1323"/>
      <c r="G55" s="1323"/>
      <c r="H55" s="1323"/>
      <c r="I55" s="1323"/>
    </row>
    <row r="56" spans="1:9" s="51" customFormat="1" ht="15" x14ac:dyDescent="0.25">
      <c r="A56" s="1323"/>
      <c r="B56" s="1323"/>
      <c r="C56" s="1323"/>
      <c r="D56" s="1323"/>
      <c r="E56" s="1323"/>
      <c r="F56" s="1323"/>
      <c r="G56" s="1323"/>
      <c r="H56" s="1323"/>
      <c r="I56" s="1323"/>
    </row>
    <row r="57" spans="1:9" s="51" customFormat="1" ht="15" x14ac:dyDescent="0.25">
      <c r="A57" s="1323"/>
      <c r="B57" s="1323"/>
      <c r="C57" s="1323"/>
      <c r="D57" s="1323"/>
      <c r="E57" s="1323"/>
      <c r="F57" s="1323"/>
      <c r="G57" s="1323"/>
      <c r="H57" s="1323"/>
      <c r="I57" s="1323"/>
    </row>
    <row r="58" spans="1:9" s="51" customFormat="1" ht="15" x14ac:dyDescent="0.25">
      <c r="A58" s="1323"/>
      <c r="B58" s="1323"/>
      <c r="C58" s="1323"/>
      <c r="D58" s="1323"/>
      <c r="E58" s="1323"/>
      <c r="F58" s="1323"/>
      <c r="G58" s="1323"/>
      <c r="H58" s="1323"/>
      <c r="I58" s="1323"/>
    </row>
    <row r="59" spans="1:9" s="51" customFormat="1" ht="15" x14ac:dyDescent="0.25">
      <c r="A59" s="1323"/>
      <c r="B59" s="1323"/>
      <c r="C59" s="1323"/>
      <c r="D59" s="1323"/>
      <c r="E59" s="1323"/>
      <c r="F59" s="1323"/>
      <c r="G59" s="1323"/>
      <c r="H59" s="1323"/>
      <c r="I59" s="1323"/>
    </row>
    <row r="60" spans="1:9" s="51" customFormat="1" ht="15" x14ac:dyDescent="0.25">
      <c r="A60" s="1323"/>
      <c r="B60" s="1323"/>
      <c r="C60" s="1323"/>
      <c r="D60" s="1323"/>
      <c r="E60" s="1323"/>
      <c r="F60" s="1323"/>
      <c r="G60" s="1323"/>
      <c r="H60" s="1323"/>
      <c r="I60" s="1323"/>
    </row>
    <row r="61" spans="1:9" s="51" customFormat="1" ht="24.75" customHeight="1" x14ac:dyDescent="0.25">
      <c r="A61" s="1323"/>
      <c r="B61" s="1323"/>
      <c r="C61" s="1948" t="s">
        <v>1871</v>
      </c>
      <c r="D61" s="1948"/>
      <c r="E61" s="1948"/>
      <c r="F61" s="1948"/>
      <c r="G61" s="1323"/>
      <c r="H61" s="1323"/>
      <c r="I61" s="1323"/>
    </row>
    <row r="62" spans="1:9" s="51" customFormat="1" ht="30" customHeight="1" x14ac:dyDescent="0.25">
      <c r="A62" s="1323"/>
      <c r="B62" s="1332" t="s">
        <v>1903</v>
      </c>
      <c r="C62" s="1548" t="s">
        <v>1887</v>
      </c>
      <c r="D62" s="1383" t="str">
        <f>IF(OR(D25=0,D13=""),"определяется, если заполнено поле №9 и нет ошибок ввода",IFERROR(MAX(0,D14*(D25*D11-'классы ЭЭ и выбросы ПГ'!AO20)),""))</f>
        <v>определяется, если заполнено поле №9 и нет ошибок ввода</v>
      </c>
      <c r="E62" s="1949" t="str">
        <f>CONCATENATE("по сравнению с базовым уровнем для зданий ",D13," эт. согласно приказу Минстроя №399")</f>
        <v>по сравнению с базовым уровнем для зданий  эт. согласно приказу Минстроя №399</v>
      </c>
      <c r="F62" s="1950"/>
      <c r="G62" s="1308"/>
      <c r="H62" s="1324"/>
      <c r="I62" s="1323"/>
    </row>
    <row r="63" spans="1:9" s="51" customFormat="1" ht="18" customHeight="1" x14ac:dyDescent="0.25">
      <c r="A63" s="1323"/>
      <c r="B63" s="1332" t="s">
        <v>1904</v>
      </c>
      <c r="C63" s="1550" t="s">
        <v>1164</v>
      </c>
      <c r="D63" s="1381" t="str">
        <f>IFERROR(D62/D20,"")</f>
        <v/>
      </c>
      <c r="E63" s="1944" t="s">
        <v>2400</v>
      </c>
      <c r="F63" s="1945"/>
      <c r="G63" s="1308"/>
      <c r="H63" s="1324"/>
      <c r="I63" s="1323"/>
    </row>
    <row r="64" spans="1:9" s="51" customFormat="1" ht="30" customHeight="1" x14ac:dyDescent="0.25">
      <c r="A64" s="1323"/>
      <c r="B64" s="1332" t="s">
        <v>1905</v>
      </c>
      <c r="C64" s="1548" t="s">
        <v>1888</v>
      </c>
      <c r="D64" s="1383" t="str">
        <f>IF(OR(D25=0,D13=""),"определяется, если заполнено поле №9 и нет ошибок ввода",IFERROR(MAX(D14*(D25*D11-0.4*'классы ЭЭ и выбросы ПГ'!AO20)),""))</f>
        <v>определяется, если заполнено поле №9 и нет ошибок ввода</v>
      </c>
      <c r="E64" s="1944" t="str">
        <f>CONCATENATE("по сравнению с уровнем А++ для зданий ",D13," эт. согласно приказу Минстроя №399")</f>
        <v>по сравнению с уровнем А++ для зданий  эт. согласно приказу Минстроя №399</v>
      </c>
      <c r="F64" s="1945"/>
      <c r="G64" s="1308"/>
      <c r="H64" s="1324"/>
      <c r="I64" s="1323"/>
    </row>
    <row r="65" spans="1:9" s="51" customFormat="1" ht="18" customHeight="1" x14ac:dyDescent="0.25">
      <c r="A65" s="1323"/>
      <c r="B65" s="1332" t="s">
        <v>1906</v>
      </c>
      <c r="C65" s="1550" t="s">
        <v>1164</v>
      </c>
      <c r="D65" s="1381" t="str">
        <f>IFERROR(D64/D20,"")</f>
        <v/>
      </c>
      <c r="E65" s="1946" t="s">
        <v>2400</v>
      </c>
      <c r="F65" s="1947"/>
      <c r="G65" s="1308"/>
      <c r="H65" s="1324"/>
      <c r="I65" s="1323"/>
    </row>
    <row r="66" spans="1:9" s="51" customFormat="1" ht="15" x14ac:dyDescent="0.25">
      <c r="A66" s="1323"/>
      <c r="B66" s="1323"/>
      <c r="C66" s="1323"/>
      <c r="D66" s="1323"/>
      <c r="E66" s="1323"/>
      <c r="F66" s="1323"/>
      <c r="G66" s="1323"/>
      <c r="H66" s="1323"/>
      <c r="I66" s="1323"/>
    </row>
    <row r="67" spans="1:9" s="51" customFormat="1" ht="15" x14ac:dyDescent="0.25">
      <c r="A67" s="1323"/>
      <c r="B67" s="1323"/>
      <c r="C67" s="1323"/>
      <c r="D67" s="1323"/>
      <c r="E67" s="1323"/>
      <c r="F67" s="1323"/>
      <c r="G67" s="1323"/>
      <c r="H67" s="1323"/>
      <c r="I67" s="1323"/>
    </row>
    <row r="68" spans="1:9" s="51" customFormat="1" ht="15" x14ac:dyDescent="0.25">
      <c r="A68" s="1323"/>
      <c r="B68" s="1323"/>
      <c r="C68" s="1323"/>
      <c r="D68" s="1323"/>
      <c r="E68" s="1323"/>
      <c r="F68" s="1323"/>
      <c r="G68" s="1323"/>
      <c r="H68" s="1323"/>
      <c r="I68" s="1323"/>
    </row>
    <row r="69" spans="1:9" s="51" customFormat="1" ht="15" x14ac:dyDescent="0.25">
      <c r="A69" s="1323"/>
      <c r="B69" s="1323"/>
      <c r="C69" s="1323"/>
      <c r="D69" s="1323"/>
      <c r="E69" s="1323"/>
      <c r="F69" s="1323"/>
      <c r="G69" s="1323"/>
      <c r="H69" s="1323"/>
      <c r="I69" s="1323"/>
    </row>
    <row r="70" spans="1:9" s="51" customFormat="1" ht="15" x14ac:dyDescent="0.25">
      <c r="A70" s="1323"/>
      <c r="B70" s="1323"/>
      <c r="C70" s="1323"/>
      <c r="D70" s="1323"/>
      <c r="E70" s="1323"/>
      <c r="F70" s="1323"/>
      <c r="G70" s="1323"/>
      <c r="H70" s="1323"/>
      <c r="I70" s="1323"/>
    </row>
    <row r="71" spans="1:9" s="51" customFormat="1" ht="15" x14ac:dyDescent="0.25">
      <c r="A71" s="1323"/>
      <c r="B71" s="1323"/>
      <c r="C71" s="1323"/>
      <c r="D71" s="1323"/>
      <c r="E71" s="1323"/>
      <c r="F71" s="1323"/>
      <c r="G71" s="1323"/>
      <c r="H71" s="1323"/>
      <c r="I71" s="1323"/>
    </row>
    <row r="72" spans="1:9" s="51" customFormat="1" ht="15" x14ac:dyDescent="0.25">
      <c r="A72" s="1323"/>
      <c r="B72" s="1323"/>
      <c r="C72" s="1323"/>
      <c r="D72" s="1323"/>
      <c r="E72" s="1323"/>
      <c r="F72" s="1323"/>
      <c r="G72" s="1323"/>
      <c r="H72" s="1323"/>
      <c r="I72" s="1323"/>
    </row>
    <row r="73" spans="1:9" s="51" customFormat="1" ht="15" x14ac:dyDescent="0.25">
      <c r="A73" s="1323"/>
      <c r="B73" s="1323"/>
      <c r="C73" s="1323"/>
      <c r="D73" s="1323"/>
      <c r="E73" s="1323"/>
      <c r="F73" s="1323"/>
      <c r="G73" s="1323"/>
      <c r="H73" s="1323"/>
      <c r="I73" s="1323"/>
    </row>
    <row r="74" spans="1:9" s="51" customFormat="1" ht="15" x14ac:dyDescent="0.25">
      <c r="A74" s="1323"/>
      <c r="B74" s="1323"/>
      <c r="C74" s="1323"/>
      <c r="D74" s="1323"/>
      <c r="E74" s="1323"/>
      <c r="F74" s="1323"/>
      <c r="G74" s="1323"/>
      <c r="H74" s="1323"/>
      <c r="I74" s="1323"/>
    </row>
    <row r="75" spans="1:9" s="51" customFormat="1" ht="15" x14ac:dyDescent="0.25">
      <c r="A75" s="1323"/>
      <c r="B75" s="1323"/>
      <c r="C75" s="1323"/>
      <c r="D75" s="1323"/>
      <c r="E75" s="1323"/>
      <c r="F75" s="1323"/>
      <c r="G75" s="1323"/>
      <c r="H75" s="1323"/>
      <c r="I75" s="1323"/>
    </row>
    <row r="76" spans="1:9" s="51" customFormat="1" ht="15" x14ac:dyDescent="0.25">
      <c r="A76" s="1323"/>
      <c r="B76" s="1323"/>
      <c r="C76" s="1323"/>
      <c r="D76" s="1323"/>
      <c r="E76" s="1323"/>
      <c r="F76" s="1323"/>
      <c r="G76" s="1323"/>
      <c r="H76" s="1323"/>
      <c r="I76" s="1323"/>
    </row>
    <row r="77" spans="1:9" s="51" customFormat="1" ht="15" x14ac:dyDescent="0.25">
      <c r="A77" s="1323"/>
      <c r="B77" s="1323"/>
      <c r="C77" s="1323"/>
      <c r="D77" s="1323"/>
      <c r="E77" s="1323"/>
      <c r="F77" s="1323"/>
      <c r="G77" s="1323"/>
      <c r="H77" s="1323"/>
      <c r="I77" s="1323"/>
    </row>
    <row r="78" spans="1:9" s="51" customFormat="1" ht="15" x14ac:dyDescent="0.25">
      <c r="A78" s="1323"/>
      <c r="B78" s="1323"/>
      <c r="C78" s="1323"/>
      <c r="D78" s="1323"/>
      <c r="E78" s="1323"/>
      <c r="F78" s="1323"/>
      <c r="G78" s="1323"/>
      <c r="H78" s="1323"/>
      <c r="I78" s="1323"/>
    </row>
    <row r="79" spans="1:9" s="51" customFormat="1" ht="15" x14ac:dyDescent="0.25">
      <c r="A79" s="1323"/>
      <c r="B79" s="1323"/>
      <c r="C79" s="1323"/>
      <c r="D79" s="1323"/>
      <c r="E79" s="1323"/>
      <c r="F79" s="1323"/>
      <c r="G79" s="1323"/>
      <c r="H79" s="1323"/>
      <c r="I79" s="1323"/>
    </row>
    <row r="80" spans="1:9" s="51" customFormat="1" ht="15" x14ac:dyDescent="0.25">
      <c r="A80" s="1323"/>
      <c r="B80" s="1323"/>
      <c r="C80" s="1323"/>
      <c r="D80" s="1323"/>
      <c r="E80" s="1323"/>
      <c r="F80" s="1323"/>
      <c r="G80" s="1323"/>
      <c r="H80" s="1323"/>
      <c r="I80" s="1323"/>
    </row>
    <row r="81" spans="1:9" s="51" customFormat="1" ht="15" x14ac:dyDescent="0.25">
      <c r="A81" s="1323"/>
      <c r="B81" s="1323"/>
      <c r="C81" s="1323"/>
      <c r="D81" s="1323"/>
      <c r="E81" s="1323"/>
      <c r="F81" s="1323"/>
      <c r="G81" s="1323"/>
      <c r="H81" s="1323"/>
      <c r="I81" s="1323"/>
    </row>
    <row r="82" spans="1:9" s="51" customFormat="1" ht="15" x14ac:dyDescent="0.25">
      <c r="A82" s="1323"/>
      <c r="B82" s="1323"/>
      <c r="C82" s="1323"/>
      <c r="D82" s="1323"/>
      <c r="E82" s="1323"/>
      <c r="F82" s="1323"/>
      <c r="G82" s="1323"/>
      <c r="H82" s="1323"/>
      <c r="I82" s="1323"/>
    </row>
    <row r="83" spans="1:9" s="51" customFormat="1" ht="15" x14ac:dyDescent="0.25">
      <c r="A83" s="1323"/>
      <c r="B83" s="1323"/>
      <c r="C83" s="1323"/>
      <c r="D83" s="1323"/>
      <c r="E83" s="1323"/>
      <c r="F83" s="1323"/>
      <c r="G83" s="1323"/>
      <c r="H83" s="1323"/>
      <c r="I83" s="1323"/>
    </row>
    <row r="84" spans="1:9" s="51" customFormat="1" ht="15" x14ac:dyDescent="0.25">
      <c r="A84" s="1323"/>
      <c r="B84" s="1323"/>
      <c r="C84" s="1323"/>
      <c r="D84" s="1323"/>
      <c r="E84" s="1323"/>
      <c r="F84" s="1323"/>
      <c r="G84" s="1323"/>
      <c r="H84" s="1323"/>
      <c r="I84" s="1323"/>
    </row>
    <row r="85" spans="1:9" s="51" customFormat="1" ht="15" x14ac:dyDescent="0.25">
      <c r="A85" s="1323"/>
      <c r="B85" s="1323"/>
      <c r="C85" s="1323"/>
      <c r="D85" s="1323"/>
      <c r="E85" s="1323"/>
      <c r="F85" s="1323"/>
      <c r="G85" s="1323"/>
      <c r="H85" s="1323"/>
      <c r="I85" s="1323"/>
    </row>
    <row r="86" spans="1:9" s="51" customFormat="1" ht="15" x14ac:dyDescent="0.25">
      <c r="A86" s="1323"/>
      <c r="B86" s="1323"/>
      <c r="C86" s="1323"/>
      <c r="D86" s="1323"/>
      <c r="E86" s="1323"/>
      <c r="F86" s="1323"/>
      <c r="G86" s="1323"/>
      <c r="H86" s="1323"/>
      <c r="I86" s="1323"/>
    </row>
    <row r="87" spans="1:9" s="51" customFormat="1" ht="15" x14ac:dyDescent="0.25">
      <c r="A87" s="1323"/>
      <c r="B87" s="1323"/>
      <c r="C87" s="1323"/>
      <c r="D87" s="1323"/>
      <c r="E87" s="1323"/>
      <c r="F87" s="1323"/>
      <c r="G87" s="1323"/>
      <c r="H87" s="1323"/>
      <c r="I87" s="1323"/>
    </row>
    <row r="88" spans="1:9" s="51" customFormat="1" ht="15" x14ac:dyDescent="0.25">
      <c r="A88" s="1323"/>
      <c r="B88" s="1323"/>
      <c r="C88" s="1323"/>
      <c r="D88" s="1323"/>
      <c r="E88" s="1323"/>
      <c r="F88" s="1323"/>
      <c r="G88" s="1323"/>
      <c r="H88" s="1323"/>
      <c r="I88" s="1323"/>
    </row>
    <row r="89" spans="1:9" s="51" customFormat="1" ht="15" x14ac:dyDescent="0.25">
      <c r="A89" s="1323"/>
      <c r="B89" s="1323"/>
      <c r="C89" s="1323"/>
      <c r="D89" s="1323"/>
      <c r="E89" s="1323"/>
      <c r="F89" s="1323"/>
      <c r="G89" s="1323"/>
      <c r="H89" s="1323"/>
      <c r="I89" s="1323"/>
    </row>
    <row r="90" spans="1:9" s="51" customFormat="1" ht="15" x14ac:dyDescent="0.25">
      <c r="A90" s="1323"/>
      <c r="B90" s="1323"/>
      <c r="C90" s="1323"/>
      <c r="D90" s="1323"/>
      <c r="E90" s="1323"/>
      <c r="F90" s="1323"/>
      <c r="G90" s="1323"/>
      <c r="H90" s="1323"/>
      <c r="I90" s="1323"/>
    </row>
    <row r="91" spans="1:9" s="51" customFormat="1" ht="15" x14ac:dyDescent="0.25">
      <c r="A91" s="1323"/>
      <c r="B91" s="1323"/>
      <c r="C91" s="1323"/>
      <c r="D91" s="1323"/>
      <c r="E91" s="1323"/>
      <c r="F91" s="1323"/>
      <c r="G91" s="1323"/>
      <c r="H91" s="1323"/>
      <c r="I91" s="1323"/>
    </row>
    <row r="92" spans="1:9" s="51" customFormat="1" ht="15" x14ac:dyDescent="0.25">
      <c r="A92" s="1323"/>
      <c r="B92" s="1323"/>
      <c r="C92" s="1323"/>
      <c r="D92" s="1323"/>
      <c r="E92" s="1323"/>
      <c r="F92" s="1323"/>
      <c r="G92" s="1323"/>
      <c r="H92" s="1323"/>
      <c r="I92" s="1323"/>
    </row>
    <row r="93" spans="1:9" s="51" customFormat="1" ht="15" x14ac:dyDescent="0.25">
      <c r="A93" s="1323"/>
      <c r="B93" s="1323"/>
      <c r="C93" s="1323"/>
      <c r="D93" s="1323"/>
      <c r="E93" s="1323"/>
      <c r="F93" s="1323"/>
      <c r="G93" s="1323"/>
      <c r="H93" s="1323"/>
      <c r="I93" s="1323"/>
    </row>
    <row r="94" spans="1:9" s="51" customFormat="1" ht="15" x14ac:dyDescent="0.25">
      <c r="A94" s="1323"/>
      <c r="B94" s="1323"/>
      <c r="C94" s="1323"/>
      <c r="D94" s="1323"/>
      <c r="E94" s="1323"/>
      <c r="F94" s="1323"/>
      <c r="G94" s="1323"/>
      <c r="H94" s="1323"/>
      <c r="I94" s="1323"/>
    </row>
    <row r="95" spans="1:9" s="51" customFormat="1" ht="15" x14ac:dyDescent="0.25">
      <c r="A95" s="1323"/>
      <c r="B95" s="1323"/>
      <c r="C95" s="1323"/>
      <c r="D95" s="1323"/>
      <c r="E95" s="1323"/>
      <c r="F95" s="1323"/>
      <c r="G95" s="1323"/>
      <c r="H95" s="1323"/>
      <c r="I95" s="1323"/>
    </row>
    <row r="96" spans="1:9" s="51" customFormat="1" ht="15" customHeight="1" x14ac:dyDescent="0.25">
      <c r="A96" s="1323"/>
      <c r="B96" s="1323"/>
      <c r="C96" s="1323"/>
      <c r="D96" s="1323"/>
      <c r="E96" s="1323"/>
      <c r="F96" s="1323"/>
      <c r="G96" s="1323"/>
      <c r="H96" s="1323"/>
      <c r="I96" s="1323"/>
    </row>
    <row r="97" spans="1:9" s="51" customFormat="1" ht="12" customHeight="1" x14ac:dyDescent="0.25">
      <c r="A97" s="1323"/>
      <c r="B97" s="1323"/>
      <c r="C97" s="1323"/>
      <c r="D97" s="1323"/>
      <c r="E97" s="1323"/>
      <c r="F97" s="1323"/>
      <c r="G97" s="1323"/>
      <c r="H97" s="1323"/>
      <c r="I97" s="1323"/>
    </row>
    <row r="98" spans="1:9" s="51" customFormat="1" ht="12" customHeight="1" x14ac:dyDescent="0.25">
      <c r="A98" s="1323"/>
      <c r="B98" s="1323"/>
      <c r="C98" s="1323"/>
      <c r="D98" s="1323"/>
      <c r="E98" s="1323"/>
      <c r="F98" s="1323"/>
      <c r="G98" s="1323"/>
      <c r="H98" s="1323"/>
      <c r="I98" s="1323"/>
    </row>
    <row r="99" spans="1:9" s="51" customFormat="1" ht="12" customHeight="1" x14ac:dyDescent="0.25">
      <c r="A99" s="1323"/>
      <c r="B99" s="1323"/>
      <c r="C99" s="1323"/>
      <c r="D99" s="1323"/>
      <c r="E99" s="1323"/>
      <c r="F99" s="1323"/>
      <c r="G99" s="1323"/>
      <c r="H99" s="1323"/>
      <c r="I99" s="1323"/>
    </row>
    <row r="100" spans="1:9" s="51" customFormat="1" ht="12" customHeight="1" x14ac:dyDescent="0.25">
      <c r="A100" s="1323"/>
      <c r="B100" s="1323"/>
      <c r="C100" s="1323"/>
      <c r="D100" s="1323"/>
      <c r="E100" s="1323"/>
      <c r="F100" s="1323"/>
      <c r="G100" s="1323"/>
      <c r="H100" s="1323"/>
      <c r="I100" s="1323"/>
    </row>
  </sheetData>
  <sheetProtection password="ECB1" sheet="1" objects="1" scenarios="1"/>
  <mergeCells count="32">
    <mergeCell ref="E17:F18"/>
    <mergeCell ref="E1:G1"/>
    <mergeCell ref="C3:D4"/>
    <mergeCell ref="C5:D6"/>
    <mergeCell ref="C8:F8"/>
    <mergeCell ref="E9:F10"/>
    <mergeCell ref="E11:F11"/>
    <mergeCell ref="E12:F12"/>
    <mergeCell ref="E13:F13"/>
    <mergeCell ref="E14:F14"/>
    <mergeCell ref="E15:F15"/>
    <mergeCell ref="E16:F16"/>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64:F64"/>
    <mergeCell ref="E65:F65"/>
    <mergeCell ref="C61:F61"/>
    <mergeCell ref="E62:F62"/>
    <mergeCell ref="E63:F63"/>
  </mergeCells>
  <conditionalFormatting sqref="D9:D10 D15">
    <cfRule type="containsBlanks" dxfId="245" priority="24">
      <formula>LEN(TRIM(D9))=0</formula>
    </cfRule>
  </conditionalFormatting>
  <conditionalFormatting sqref="D16">
    <cfRule type="containsBlanks" dxfId="244" priority="20">
      <formula>LEN(TRIM(D16))=0</formula>
    </cfRule>
  </conditionalFormatting>
  <conditionalFormatting sqref="D19 D21">
    <cfRule type="expression" dxfId="243" priority="19">
      <formula>OR($D$16=INDEX(danet,1),$D$16=INDEX(danet,2))</formula>
    </cfRule>
  </conditionalFormatting>
  <conditionalFormatting sqref="E19:F22">
    <cfRule type="expression" dxfId="242" priority="17">
      <formula>$D$16=INDEX(danet,3)</formula>
    </cfRule>
  </conditionalFormatting>
  <conditionalFormatting sqref="E17:F18">
    <cfRule type="expression" dxfId="241" priority="13">
      <formula>$D$16=INDEX(danet,2)</formula>
    </cfRule>
  </conditionalFormatting>
  <conditionalFormatting sqref="D17">
    <cfRule type="expression" dxfId="240" priority="12">
      <formula>OR($D$16=INDEX(danet,3),$D$16=INDEX(danet,1))</formula>
    </cfRule>
  </conditionalFormatting>
  <conditionalFormatting sqref="D32">
    <cfRule type="expression" dxfId="239" priority="10">
      <formula>OR($D$13="",$D$27="")</formula>
    </cfRule>
  </conditionalFormatting>
  <conditionalFormatting sqref="F30">
    <cfRule type="expression" dxfId="238" priority="9">
      <formula>$D$32="A++"</formula>
    </cfRule>
  </conditionalFormatting>
  <conditionalFormatting sqref="F31:G31">
    <cfRule type="expression" dxfId="237" priority="8">
      <formula>$D$32="A+"</formula>
    </cfRule>
  </conditionalFormatting>
  <conditionalFormatting sqref="F32:G32">
    <cfRule type="expression" dxfId="236" priority="7">
      <formula>$D$32="A"</formula>
    </cfRule>
  </conditionalFormatting>
  <conditionalFormatting sqref="F33:G33">
    <cfRule type="expression" dxfId="235" priority="6">
      <formula>$D$32="B"</formula>
    </cfRule>
  </conditionalFormatting>
  <conditionalFormatting sqref="F34:G34">
    <cfRule type="expression" dxfId="234" priority="5">
      <formula>$D$32="C"</formula>
    </cfRule>
  </conditionalFormatting>
  <conditionalFormatting sqref="F35:G35">
    <cfRule type="expression" dxfId="233" priority="4">
      <formula>$D$32="D"</formula>
    </cfRule>
  </conditionalFormatting>
  <conditionalFormatting sqref="F36:G36">
    <cfRule type="expression" dxfId="232" priority="3">
      <formula>$D$32="E"</formula>
    </cfRule>
  </conditionalFormatting>
  <conditionalFormatting sqref="F37:G37">
    <cfRule type="expression" dxfId="231" priority="2">
      <formula>$D$32="F"</formula>
    </cfRule>
  </conditionalFormatting>
  <conditionalFormatting sqref="F38:G38">
    <cfRule type="expression" dxfId="230" priority="1">
      <formula>$D$32="G"</formula>
    </cfRule>
  </conditionalFormatting>
  <conditionalFormatting sqref="D43">
    <cfRule type="expression" dxfId="229"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15748031496062992" bottom="0.15748031496062992" header="0.11811023622047245" footer="0.11811023622047245"/>
  <pageSetup paperSize="9" scale="49" fitToHeight="0" orientation="portrait" r:id="rId3"/>
  <headerFooter>
    <oddFooter>&amp;R&amp;D</oddFooter>
  </headerFooter>
  <drawing r:id="rId4"/>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6"/>
    <col min="10" max="16384" width="9.140625" style="13"/>
  </cols>
  <sheetData>
    <row r="1" spans="1:23" ht="21" x14ac:dyDescent="0.25">
      <c r="A1" s="1362"/>
      <c r="B1" s="1362"/>
      <c r="C1" s="1362"/>
      <c r="D1" s="1362"/>
      <c r="E1" s="1362"/>
      <c r="F1" s="1362"/>
      <c r="G1" s="1362"/>
      <c r="H1" s="1362"/>
      <c r="I1" s="1362"/>
      <c r="J1" s="1362"/>
      <c r="K1" s="1362"/>
      <c r="L1" s="1364"/>
      <c r="N1" s="1362" t="s">
        <v>1854</v>
      </c>
      <c r="O1" s="1362"/>
      <c r="P1" s="1362"/>
      <c r="Q1" s="1362" t="s">
        <v>1855</v>
      </c>
      <c r="R1" s="1362"/>
      <c r="S1" s="1362"/>
      <c r="U1" s="13" t="s">
        <v>1857</v>
      </c>
    </row>
    <row r="2" spans="1:23"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row>
    <row r="3" spans="1:23" ht="31.5" x14ac:dyDescent="0.25">
      <c r="A3" s="1362" t="s">
        <v>1164</v>
      </c>
      <c r="B3" s="1362" t="s">
        <v>1840</v>
      </c>
      <c r="C3" s="1362" t="s">
        <v>1840</v>
      </c>
      <c r="D3" s="1362" t="s">
        <v>2028</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s="1366">
        <f>'Рейтинг МКД'!D25</f>
        <v>0</v>
      </c>
      <c r="V3" s="1367">
        <f>'Рейтинг МКД'!D26</f>
        <v>0</v>
      </c>
      <c r="W3" s="1366" t="e">
        <f>'Рейтинг МКД'!D28*'Рейтинг МКД'!D11</f>
        <v>#VALUE!</v>
      </c>
    </row>
    <row r="4" spans="1:23" x14ac:dyDescent="0.25">
      <c r="A4" s="1362"/>
      <c r="B4" s="1362"/>
      <c r="C4" s="1362"/>
      <c r="D4" s="1362"/>
      <c r="E4" s="1362"/>
      <c r="F4" s="1362"/>
      <c r="G4" s="1362"/>
      <c r="H4" s="1362"/>
      <c r="I4" s="1362"/>
      <c r="J4" s="1362"/>
      <c r="K4" s="1362"/>
      <c r="L4" s="1362"/>
      <c r="M4" s="1362"/>
      <c r="N4" s="1362"/>
      <c r="O4" s="1362"/>
      <c r="P4" s="1362"/>
      <c r="Q4" s="1362"/>
      <c r="R4" s="1362"/>
      <c r="S4" s="1362"/>
    </row>
    <row r="5" spans="1:23" x14ac:dyDescent="0.25">
      <c r="A5" s="1363">
        <v>0.01</v>
      </c>
      <c r="B5" s="13">
        <f>$B$106*B108+$C$106*C108+$D$106*D108+$E$106*E108+$F$106*F108+$G$106*G108+$H$106*H108+$I$106*I108+$J$106*J108+$K$106*K108+$L$106*L108+$M$106*M108</f>
        <v>0</v>
      </c>
      <c r="C5" s="1364">
        <f t="shared" ref="C5:C36" si="0">$B$106*B213+$C$106*C213+$D$106*D213+$E$106*E213+$F$106*F213+$G$106*G213+$H$106*H213+$I$106*I213+$J$106*J213+$K$106*K213+$L$106*L213+$M$106*M213</f>
        <v>0</v>
      </c>
      <c r="D5" s="1431" t="e">
        <f>B5*'Рейтинг МКД'!$D$11+'кривые-экспресс'!C5+IF('Рейтинг МКД'!$D$15="нет",7,10)</f>
        <v>#VALUE!</v>
      </c>
      <c r="E5" s="1431" t="e">
        <f>IF(D5&lt;=$N$423,D5,"")</f>
        <v>#VALUE!</v>
      </c>
      <c r="F5" s="1364" t="e">
        <f>IF(AND($D5&lt;=$N$424,$D5&gt;$N$423),$D5,"")</f>
        <v>#VALUE!</v>
      </c>
      <c r="G5" s="1364" t="e">
        <f>IF(AND($D5&lt;=$N$425,$D5&gt;$N$424),$D5,"")</f>
        <v>#VALUE!</v>
      </c>
      <c r="H5" s="1364" t="e">
        <f>IF(AND($D5&lt;=$N$426,$D5&gt;$N$425),$D5,"")</f>
        <v>#VALUE!</v>
      </c>
      <c r="I5" s="1364" t="e">
        <f>IF(AND($D5&lt;=$N$427,$D5&gt;$N$426),$D5,"")</f>
        <v>#VALUE!</v>
      </c>
      <c r="J5" s="1364" t="e">
        <f>IF(AND($D5&lt;=$N$428,$D5&gt;$N$427),$D5,"")</f>
        <v>#VALUE!</v>
      </c>
      <c r="K5" s="1364" t="e">
        <f>IF(AND($D5&lt;=$N$429,$D5&gt;$N$428),$D5,"")</f>
        <v>#VALUE!</v>
      </c>
      <c r="L5" s="1364" t="e">
        <f>IF(AND($D5&lt;=$N$430,$D5&gt;$N$429),$D5,"")</f>
        <v>#VALUE!</v>
      </c>
      <c r="M5" s="1364" t="e">
        <f>IF(AND($D5&gt;$N$430),$D5,"")</f>
        <v>#VALUE!</v>
      </c>
      <c r="N5" s="13" t="e">
        <f>$B$106*B210+$C$106*C210+$D$106*D210+$E$106*E210+$F$106*F210+$G$106*G210+$H$106*H210+$I$106*I210+$J$106*J210+$K$106*K210+$L$106*L210+$M$106*M210</f>
        <v>#VALUE!</v>
      </c>
      <c r="O5" s="13" t="e">
        <f>$B$106*B315+$C$106*C315+$D$106*D315+$E$106*E315+$F$106*F315+$G$106*G315+$H$106*H315+$I$106*I315+$J$106*J315+$K$106*K315+$L$106*L315+$M$106*M315</f>
        <v>#VALUE!</v>
      </c>
      <c r="P5" s="1423" t="e">
        <f>'Рейтинг МКД'!D11*($B$106*B420+$C$106*C420+$D$106*D420+$E$106*E420+$F$106*F420+$G$106*G420+$H$106*H420+$I$106*I420+$J$106*J420+$K$106*K420+$L$106*L420+$M$106*M420)+IF('Рейтинг МКД'!$D$15="нет",7,10)</f>
        <v>#VALUE!</v>
      </c>
      <c r="Q5" s="13" t="e">
        <f>$B$106*B211+$C$106*C211+$D$106*D211+$E$106*E211+$F$106*F211+$G$106*G211+$H$106*H211+$I$106*I211+$J$106*J211+$K$106*K211+$L$106*L211+$M$106*M211</f>
        <v>#VALUE!</v>
      </c>
      <c r="R5" s="13" t="e">
        <f>$B$106*B316+$C$106*C316+$D$106*D316+$E$106*E316+$F$106*F316+$G$106*G316+$H$106*H316+$I$106*I316+$J$106*J316+$K$106*K316+$L$106*L316+$M$106*M316</f>
        <v>#VALUE!</v>
      </c>
      <c r="S5" s="13" t="e">
        <f>'Рейтинг МКД'!$D$11*($B$106*B421+$C$106*C421+$D$106*D421+$E$106*E421+$F$106*F421+$G$106*G421+$H$106*H421+$I$106*I421+$J$106*J421+$K$106*K421+$L$106*L421+$M$106*M421)+IF('Рейтинг МКД'!$D$15="нет",7,10)</f>
        <v>#VALUE!</v>
      </c>
      <c r="U5" s="13" t="str">
        <f t="shared" ref="U5:U36" si="1">IF(AND($U$3&gt;=B5,$U$3&lt;B6),$U$3,"")</f>
        <v/>
      </c>
      <c r="V5" s="13" t="str">
        <f t="shared" ref="V5:V36" si="2">IF(AND($V$3&gt;=C5,$V$3&lt;C6),$V$3,"")</f>
        <v/>
      </c>
      <c r="W5" s="13" t="e">
        <f>IF(AND($W$3&gt;=SUM(E5:M5),$W$3&lt;SUM(E6:M6)),$W$3,"")</f>
        <v>#VALUE!</v>
      </c>
    </row>
    <row r="6" spans="1:23" x14ac:dyDescent="0.25">
      <c r="A6" s="1363">
        <v>0.02</v>
      </c>
      <c r="B6" s="13">
        <f t="shared" ref="B6:B69" si="3">$B$106*B109+$C$106*C109+$D$106*D109+$E$106*E109+$F$106*F109+$G$106*G109+$H$106*H109+$I$106*I109+$J$106*J109+$K$106*K109+$L$106*L109+$M$106*M109</f>
        <v>0</v>
      </c>
      <c r="C6" s="1364">
        <f t="shared" si="0"/>
        <v>0</v>
      </c>
      <c r="D6" s="1431" t="e">
        <f>B6*'Рейтинг МКД'!$D$11+'кривые-экспресс'!C6+IF('Рейтинг МКД'!$D$15="нет",7,10)</f>
        <v>#VALUE!</v>
      </c>
      <c r="E6" s="1431" t="e">
        <f t="shared" ref="E6:E69" si="4">IF(D6&lt;=$N$423,D6,"")</f>
        <v>#VALUE!</v>
      </c>
      <c r="F6" s="1364" t="e">
        <f t="shared" ref="F6:F69" si="5">IF(AND($D6&lt;=$N$424,$D6&gt;$N$423),$D6,"")</f>
        <v>#VALUE!</v>
      </c>
      <c r="G6" s="1364" t="e">
        <f t="shared" ref="G6:G69" si="6">IF(AND($D6&lt;=$N$425,$D6&gt;$N$424),$D6,"")</f>
        <v>#VALUE!</v>
      </c>
      <c r="H6" s="1364" t="e">
        <f t="shared" ref="H6:H69" si="7">IF(AND($D6&lt;=$N$426,$D6&gt;$N$425),$D6,"")</f>
        <v>#VALUE!</v>
      </c>
      <c r="I6" s="1364" t="e">
        <f t="shared" ref="I6:I69" si="8">IF(AND($D6&lt;=$N$427,$D6&gt;$N$426),$D6,"")</f>
        <v>#VALUE!</v>
      </c>
      <c r="J6" s="1364" t="e">
        <f t="shared" ref="J6:J69" si="9">IF(AND($D6&lt;=$N$428,$D6&gt;$N$427),$D6,"")</f>
        <v>#VALUE!</v>
      </c>
      <c r="K6" s="1364" t="e">
        <f t="shared" ref="K6:K69" si="10">IF(AND($D6&lt;=$N$429,$D6&gt;$N$428),$D6,"")</f>
        <v>#VALUE!</v>
      </c>
      <c r="L6" s="1364" t="e">
        <f t="shared" ref="L6:L69" si="11">IF(AND($D6&lt;=$N$430,$D6&gt;$N$429),$D6,"")</f>
        <v>#VALUE!</v>
      </c>
      <c r="M6" s="1364" t="e">
        <f t="shared" ref="M6:M69" si="12">IF(AND($D6&gt;$N$430),$D6,"")</f>
        <v>#VALUE!</v>
      </c>
      <c r="N6" s="13" t="e">
        <f t="shared" ref="N6:N22" si="13">N5</f>
        <v>#VALUE!</v>
      </c>
      <c r="O6" s="13" t="e">
        <f t="shared" ref="O6:S21" si="14">O5</f>
        <v>#VALUE!</v>
      </c>
      <c r="P6" s="13" t="e">
        <f t="shared" si="14"/>
        <v>#VALUE!</v>
      </c>
      <c r="Q6" s="13" t="e">
        <f t="shared" si="14"/>
        <v>#VALUE!</v>
      </c>
      <c r="R6" s="13" t="e">
        <f t="shared" si="14"/>
        <v>#VALUE!</v>
      </c>
      <c r="S6" s="13" t="e">
        <f t="shared" si="14"/>
        <v>#VALUE!</v>
      </c>
      <c r="U6" s="13" t="str">
        <f t="shared" si="1"/>
        <v/>
      </c>
      <c r="V6" s="13" t="str">
        <f t="shared" si="2"/>
        <v/>
      </c>
      <c r="W6" s="13" t="e">
        <f>IF(AND($W$3&gt;=SUM(E6:M6),$W$3&lt;SUM(E7:M7)),$W$3,"")</f>
        <v>#VALUE!</v>
      </c>
    </row>
    <row r="7" spans="1:23" x14ac:dyDescent="0.25">
      <c r="A7" s="1363">
        <v>0.03</v>
      </c>
      <c r="B7" s="13">
        <f t="shared" si="3"/>
        <v>0</v>
      </c>
      <c r="C7" s="1364">
        <f t="shared" si="0"/>
        <v>0</v>
      </c>
      <c r="D7" s="1431" t="e">
        <f>B7*'Рейтинг МКД'!$D$11+'кривые-экспресс'!C7+IF('Рейтинг МКД'!$D$15="нет",7,10)</f>
        <v>#VALUE!</v>
      </c>
      <c r="E7" s="1431" t="e">
        <f t="shared" si="4"/>
        <v>#VALUE!</v>
      </c>
      <c r="F7" s="1364" t="e">
        <f t="shared" si="5"/>
        <v>#VALUE!</v>
      </c>
      <c r="G7" s="1364" t="e">
        <f t="shared" si="6"/>
        <v>#VALUE!</v>
      </c>
      <c r="H7" s="1364" t="e">
        <f t="shared" si="7"/>
        <v>#VALUE!</v>
      </c>
      <c r="I7" s="1364" t="e">
        <f t="shared" si="8"/>
        <v>#VALUE!</v>
      </c>
      <c r="J7" s="1364" t="e">
        <f t="shared" si="9"/>
        <v>#VALUE!</v>
      </c>
      <c r="K7" s="1364" t="e">
        <f t="shared" si="10"/>
        <v>#VALUE!</v>
      </c>
      <c r="L7" s="1364" t="e">
        <f t="shared" si="11"/>
        <v>#VALUE!</v>
      </c>
      <c r="M7" s="1364" t="e">
        <f t="shared" si="12"/>
        <v>#VALUE!</v>
      </c>
      <c r="N7" s="13" t="e">
        <f t="shared" si="13"/>
        <v>#VALUE!</v>
      </c>
      <c r="O7" s="13" t="e">
        <f t="shared" si="14"/>
        <v>#VALUE!</v>
      </c>
      <c r="P7" s="13" t="e">
        <f t="shared" si="14"/>
        <v>#VALUE!</v>
      </c>
      <c r="Q7" s="13" t="e">
        <f t="shared" si="14"/>
        <v>#VALUE!</v>
      </c>
      <c r="R7" s="13" t="e">
        <f t="shared" si="14"/>
        <v>#VALUE!</v>
      </c>
      <c r="S7" s="13" t="e">
        <f t="shared" si="14"/>
        <v>#VALUE!</v>
      </c>
      <c r="U7" s="13" t="str">
        <f t="shared" si="1"/>
        <v/>
      </c>
      <c r="V7" s="13" t="str">
        <f t="shared" si="2"/>
        <v/>
      </c>
      <c r="W7" s="13" t="e">
        <f t="shared" ref="W7:W70" si="15">IF(AND($W$3&gt;=SUM(E7:M7),$W$3&lt;SUM(E8:M8)),$W$3,"")</f>
        <v>#VALUE!</v>
      </c>
    </row>
    <row r="8" spans="1:23" x14ac:dyDescent="0.25">
      <c r="A8" s="1363">
        <v>0.04</v>
      </c>
      <c r="B8" s="13">
        <f t="shared" si="3"/>
        <v>0</v>
      </c>
      <c r="C8" s="1364">
        <f t="shared" si="0"/>
        <v>0</v>
      </c>
      <c r="D8" s="1431" t="e">
        <f>B8*'Рейтинг МКД'!$D$11+'кривые-экспресс'!C8+IF('Рейтинг МКД'!$D$15="нет",7,10)</f>
        <v>#VALUE!</v>
      </c>
      <c r="E8" s="1431" t="e">
        <f t="shared" si="4"/>
        <v>#VALUE!</v>
      </c>
      <c r="F8" s="1364" t="e">
        <f t="shared" si="5"/>
        <v>#VALUE!</v>
      </c>
      <c r="G8" s="1364" t="e">
        <f t="shared" si="6"/>
        <v>#VALUE!</v>
      </c>
      <c r="H8" s="1364" t="e">
        <f t="shared" si="7"/>
        <v>#VALUE!</v>
      </c>
      <c r="I8" s="1364" t="e">
        <f t="shared" si="8"/>
        <v>#VALUE!</v>
      </c>
      <c r="J8" s="1364" t="e">
        <f t="shared" si="9"/>
        <v>#VALUE!</v>
      </c>
      <c r="K8" s="1364" t="e">
        <f t="shared" si="10"/>
        <v>#VALUE!</v>
      </c>
      <c r="L8" s="1364" t="e">
        <f t="shared" si="11"/>
        <v>#VALUE!</v>
      </c>
      <c r="M8" s="1364" t="e">
        <f t="shared" si="12"/>
        <v>#VALUE!</v>
      </c>
      <c r="N8" s="13" t="e">
        <f t="shared" si="13"/>
        <v>#VALUE!</v>
      </c>
      <c r="O8" s="13" t="e">
        <f t="shared" si="14"/>
        <v>#VALUE!</v>
      </c>
      <c r="P8" s="13" t="e">
        <f t="shared" si="14"/>
        <v>#VALUE!</v>
      </c>
      <c r="Q8" s="13" t="e">
        <f t="shared" si="14"/>
        <v>#VALUE!</v>
      </c>
      <c r="R8" s="13" t="e">
        <f t="shared" si="14"/>
        <v>#VALUE!</v>
      </c>
      <c r="S8" s="13" t="e">
        <f t="shared" si="14"/>
        <v>#VALUE!</v>
      </c>
      <c r="U8" s="13" t="str">
        <f t="shared" si="1"/>
        <v/>
      </c>
      <c r="V8" s="13" t="str">
        <f t="shared" si="2"/>
        <v/>
      </c>
      <c r="W8" s="13" t="e">
        <f t="shared" si="15"/>
        <v>#VALUE!</v>
      </c>
    </row>
    <row r="9" spans="1:23" x14ac:dyDescent="0.25">
      <c r="A9" s="1363">
        <v>0.05</v>
      </c>
      <c r="B9" s="13">
        <f t="shared" si="3"/>
        <v>0</v>
      </c>
      <c r="C9" s="1364">
        <f t="shared" si="0"/>
        <v>0</v>
      </c>
      <c r="D9" s="1431" t="e">
        <f>B9*'Рейтинг МКД'!$D$11+'кривые-экспресс'!C9+IF('Рейтинг МКД'!$D$15="нет",7,10)</f>
        <v>#VALUE!</v>
      </c>
      <c r="E9" s="1431" t="e">
        <f t="shared" si="4"/>
        <v>#VALUE!</v>
      </c>
      <c r="F9" s="1364" t="e">
        <f t="shared" si="5"/>
        <v>#VALUE!</v>
      </c>
      <c r="G9" s="1364" t="e">
        <f t="shared" si="6"/>
        <v>#VALUE!</v>
      </c>
      <c r="H9" s="1364" t="e">
        <f t="shared" si="7"/>
        <v>#VALUE!</v>
      </c>
      <c r="I9" s="1364" t="e">
        <f t="shared" si="8"/>
        <v>#VALUE!</v>
      </c>
      <c r="J9" s="1364" t="e">
        <f t="shared" si="9"/>
        <v>#VALUE!</v>
      </c>
      <c r="K9" s="1364" t="e">
        <f t="shared" si="10"/>
        <v>#VALUE!</v>
      </c>
      <c r="L9" s="1364" t="e">
        <f t="shared" si="11"/>
        <v>#VALUE!</v>
      </c>
      <c r="M9" s="1364" t="e">
        <f t="shared" si="12"/>
        <v>#VALUE!</v>
      </c>
      <c r="N9" s="13" t="e">
        <f t="shared" si="13"/>
        <v>#VALUE!</v>
      </c>
      <c r="O9" s="13" t="e">
        <f t="shared" si="14"/>
        <v>#VALUE!</v>
      </c>
      <c r="P9" s="13" t="e">
        <f t="shared" si="14"/>
        <v>#VALUE!</v>
      </c>
      <c r="Q9" s="13" t="e">
        <f t="shared" si="14"/>
        <v>#VALUE!</v>
      </c>
      <c r="R9" s="13" t="e">
        <f t="shared" si="14"/>
        <v>#VALUE!</v>
      </c>
      <c r="S9" s="13" t="e">
        <f t="shared" si="14"/>
        <v>#VALUE!</v>
      </c>
      <c r="U9" s="13" t="str">
        <f t="shared" si="1"/>
        <v/>
      </c>
      <c r="V9" s="13" t="str">
        <f t="shared" si="2"/>
        <v/>
      </c>
      <c r="W9" s="13" t="e">
        <f t="shared" si="15"/>
        <v>#VALUE!</v>
      </c>
    </row>
    <row r="10" spans="1:23" x14ac:dyDescent="0.25">
      <c r="A10" s="1363">
        <v>0.06</v>
      </c>
      <c r="B10" s="13">
        <f t="shared" si="3"/>
        <v>0</v>
      </c>
      <c r="C10" s="1364">
        <f t="shared" si="0"/>
        <v>0</v>
      </c>
      <c r="D10" s="1431" t="e">
        <f>B10*'Рейтинг МКД'!$D$11+'кривые-экспресс'!C10+IF('Рейтинг МКД'!$D$15="нет",7,10)</f>
        <v>#VALUE!</v>
      </c>
      <c r="E10" s="1431" t="e">
        <f t="shared" si="4"/>
        <v>#VALUE!</v>
      </c>
      <c r="F10" s="1364" t="e">
        <f t="shared" si="5"/>
        <v>#VALUE!</v>
      </c>
      <c r="G10" s="1364" t="e">
        <f t="shared" si="6"/>
        <v>#VALUE!</v>
      </c>
      <c r="H10" s="1364" t="e">
        <f t="shared" si="7"/>
        <v>#VALUE!</v>
      </c>
      <c r="I10" s="1364" t="e">
        <f t="shared" si="8"/>
        <v>#VALUE!</v>
      </c>
      <c r="J10" s="1364" t="e">
        <f t="shared" si="9"/>
        <v>#VALUE!</v>
      </c>
      <c r="K10" s="1364" t="e">
        <f t="shared" si="10"/>
        <v>#VALUE!</v>
      </c>
      <c r="L10" s="1364" t="e">
        <f t="shared" si="11"/>
        <v>#VALUE!</v>
      </c>
      <c r="M10" s="1364" t="e">
        <f t="shared" si="12"/>
        <v>#VALUE!</v>
      </c>
      <c r="N10" s="13" t="e">
        <f t="shared" si="13"/>
        <v>#VALUE!</v>
      </c>
      <c r="O10" s="13" t="e">
        <f t="shared" si="14"/>
        <v>#VALUE!</v>
      </c>
      <c r="P10" s="13" t="e">
        <f t="shared" si="14"/>
        <v>#VALUE!</v>
      </c>
      <c r="Q10" s="13" t="e">
        <f t="shared" si="14"/>
        <v>#VALUE!</v>
      </c>
      <c r="R10" s="13" t="e">
        <f t="shared" si="14"/>
        <v>#VALUE!</v>
      </c>
      <c r="S10" s="13" t="e">
        <f t="shared" si="14"/>
        <v>#VALUE!</v>
      </c>
      <c r="U10" s="13" t="str">
        <f t="shared" si="1"/>
        <v/>
      </c>
      <c r="V10" s="13" t="str">
        <f t="shared" si="2"/>
        <v/>
      </c>
      <c r="W10" s="13" t="e">
        <f t="shared" si="15"/>
        <v>#VALUE!</v>
      </c>
    </row>
    <row r="11" spans="1:23" x14ac:dyDescent="0.25">
      <c r="A11" s="1363">
        <v>7.0000000000000007E-2</v>
      </c>
      <c r="B11" s="13">
        <f t="shared" si="3"/>
        <v>0</v>
      </c>
      <c r="C11" s="1364">
        <f t="shared" si="0"/>
        <v>0</v>
      </c>
      <c r="D11" s="1431" t="e">
        <f>B11*'Рейтинг МКД'!$D$11+'кривые-экспресс'!C11+IF('Рейтинг МКД'!$D$15="нет",7,10)</f>
        <v>#VALUE!</v>
      </c>
      <c r="E11" s="1431" t="e">
        <f t="shared" si="4"/>
        <v>#VALUE!</v>
      </c>
      <c r="F11" s="1364" t="e">
        <f t="shared" si="5"/>
        <v>#VALUE!</v>
      </c>
      <c r="G11" s="1364" t="e">
        <f t="shared" si="6"/>
        <v>#VALUE!</v>
      </c>
      <c r="H11" s="1364" t="e">
        <f t="shared" si="7"/>
        <v>#VALUE!</v>
      </c>
      <c r="I11" s="1364" t="e">
        <f t="shared" si="8"/>
        <v>#VALUE!</v>
      </c>
      <c r="J11" s="1364" t="e">
        <f t="shared" si="9"/>
        <v>#VALUE!</v>
      </c>
      <c r="K11" s="1364" t="e">
        <f t="shared" si="10"/>
        <v>#VALUE!</v>
      </c>
      <c r="L11" s="1364" t="e">
        <f t="shared" si="11"/>
        <v>#VALUE!</v>
      </c>
      <c r="M11" s="1364" t="e">
        <f t="shared" si="12"/>
        <v>#VALUE!</v>
      </c>
      <c r="N11" s="13" t="e">
        <f t="shared" si="13"/>
        <v>#VALUE!</v>
      </c>
      <c r="O11" s="13" t="e">
        <f t="shared" si="14"/>
        <v>#VALUE!</v>
      </c>
      <c r="P11" s="13" t="e">
        <f t="shared" si="14"/>
        <v>#VALUE!</v>
      </c>
      <c r="Q11" s="13" t="e">
        <f t="shared" si="14"/>
        <v>#VALUE!</v>
      </c>
      <c r="R11" s="13" t="e">
        <f t="shared" si="14"/>
        <v>#VALUE!</v>
      </c>
      <c r="S11" s="13" t="e">
        <f t="shared" si="14"/>
        <v>#VALUE!</v>
      </c>
      <c r="U11" s="13" t="str">
        <f t="shared" si="1"/>
        <v/>
      </c>
      <c r="V11" s="13" t="str">
        <f t="shared" si="2"/>
        <v/>
      </c>
      <c r="W11" s="13" t="e">
        <f t="shared" si="15"/>
        <v>#VALUE!</v>
      </c>
    </row>
    <row r="12" spans="1:23" x14ac:dyDescent="0.25">
      <c r="A12" s="1363">
        <v>0.08</v>
      </c>
      <c r="B12" s="13">
        <f t="shared" si="3"/>
        <v>0</v>
      </c>
      <c r="C12" s="1364">
        <f t="shared" si="0"/>
        <v>0</v>
      </c>
      <c r="D12" s="1431" t="e">
        <f>B12*'Рейтинг МКД'!$D$11+'кривые-экспресс'!C12+IF('Рейтинг МКД'!$D$15="нет",7,10)</f>
        <v>#VALUE!</v>
      </c>
      <c r="E12" s="1431" t="e">
        <f t="shared" si="4"/>
        <v>#VALUE!</v>
      </c>
      <c r="F12" s="1364" t="e">
        <f t="shared" si="5"/>
        <v>#VALUE!</v>
      </c>
      <c r="G12" s="1364" t="e">
        <f t="shared" si="6"/>
        <v>#VALUE!</v>
      </c>
      <c r="H12" s="1364" t="e">
        <f t="shared" si="7"/>
        <v>#VALUE!</v>
      </c>
      <c r="I12" s="1364" t="e">
        <f t="shared" si="8"/>
        <v>#VALUE!</v>
      </c>
      <c r="J12" s="1364" t="e">
        <f t="shared" si="9"/>
        <v>#VALUE!</v>
      </c>
      <c r="K12" s="1364" t="e">
        <f t="shared" si="10"/>
        <v>#VALUE!</v>
      </c>
      <c r="L12" s="1364" t="e">
        <f t="shared" si="11"/>
        <v>#VALUE!</v>
      </c>
      <c r="M12" s="1364" t="e">
        <f t="shared" si="12"/>
        <v>#VALUE!</v>
      </c>
      <c r="N12" s="13" t="e">
        <f t="shared" si="13"/>
        <v>#VALUE!</v>
      </c>
      <c r="O12" s="13" t="e">
        <f t="shared" si="14"/>
        <v>#VALUE!</v>
      </c>
      <c r="P12" s="13" t="e">
        <f t="shared" si="14"/>
        <v>#VALUE!</v>
      </c>
      <c r="Q12" s="13" t="e">
        <f t="shared" si="14"/>
        <v>#VALUE!</v>
      </c>
      <c r="R12" s="13" t="e">
        <f t="shared" si="14"/>
        <v>#VALUE!</v>
      </c>
      <c r="S12" s="13" t="e">
        <f t="shared" si="14"/>
        <v>#VALUE!</v>
      </c>
      <c r="U12" s="13" t="str">
        <f t="shared" si="1"/>
        <v/>
      </c>
      <c r="V12" s="13" t="str">
        <f t="shared" si="2"/>
        <v/>
      </c>
      <c r="W12" s="13" t="e">
        <f t="shared" si="15"/>
        <v>#VALUE!</v>
      </c>
    </row>
    <row r="13" spans="1:23" x14ac:dyDescent="0.25">
      <c r="A13" s="1363">
        <v>0.09</v>
      </c>
      <c r="B13" s="13">
        <f t="shared" si="3"/>
        <v>0</v>
      </c>
      <c r="C13" s="1364">
        <f t="shared" si="0"/>
        <v>0</v>
      </c>
      <c r="D13" s="1431" t="e">
        <f>B13*'Рейтинг МКД'!$D$11+'кривые-экспресс'!C13+IF('Рейтинг МКД'!$D$15="нет",7,10)</f>
        <v>#VALUE!</v>
      </c>
      <c r="E13" s="1431" t="e">
        <f t="shared" si="4"/>
        <v>#VALUE!</v>
      </c>
      <c r="F13" s="1364" t="e">
        <f t="shared" si="5"/>
        <v>#VALUE!</v>
      </c>
      <c r="G13" s="1364" t="e">
        <f t="shared" si="6"/>
        <v>#VALUE!</v>
      </c>
      <c r="H13" s="1364" t="e">
        <f t="shared" si="7"/>
        <v>#VALUE!</v>
      </c>
      <c r="I13" s="1364" t="e">
        <f t="shared" si="8"/>
        <v>#VALUE!</v>
      </c>
      <c r="J13" s="1364" t="e">
        <f t="shared" si="9"/>
        <v>#VALUE!</v>
      </c>
      <c r="K13" s="1364" t="e">
        <f t="shared" si="10"/>
        <v>#VALUE!</v>
      </c>
      <c r="L13" s="1364" t="e">
        <f t="shared" si="11"/>
        <v>#VALUE!</v>
      </c>
      <c r="M13" s="1364" t="e">
        <f t="shared" si="12"/>
        <v>#VALUE!</v>
      </c>
      <c r="N13" s="13" t="e">
        <f t="shared" si="13"/>
        <v>#VALUE!</v>
      </c>
      <c r="O13" s="13" t="e">
        <f t="shared" si="14"/>
        <v>#VALUE!</v>
      </c>
      <c r="P13" s="13" t="e">
        <f t="shared" si="14"/>
        <v>#VALUE!</v>
      </c>
      <c r="Q13" s="13" t="e">
        <f t="shared" si="14"/>
        <v>#VALUE!</v>
      </c>
      <c r="R13" s="13" t="e">
        <f t="shared" si="14"/>
        <v>#VALUE!</v>
      </c>
      <c r="S13" s="13" t="e">
        <f t="shared" si="14"/>
        <v>#VALUE!</v>
      </c>
      <c r="U13" s="13" t="str">
        <f t="shared" si="1"/>
        <v/>
      </c>
      <c r="V13" s="13" t="str">
        <f t="shared" si="2"/>
        <v/>
      </c>
      <c r="W13" s="13" t="e">
        <f t="shared" si="15"/>
        <v>#VALUE!</v>
      </c>
    </row>
    <row r="14" spans="1:23" x14ac:dyDescent="0.25">
      <c r="A14" s="1363">
        <v>0.1</v>
      </c>
      <c r="B14" s="13">
        <f t="shared" si="3"/>
        <v>0</v>
      </c>
      <c r="C14" s="1364">
        <f t="shared" si="0"/>
        <v>0</v>
      </c>
      <c r="D14" s="1431" t="e">
        <f>B14*'Рейтинг МКД'!$D$11+'кривые-экспресс'!C14+IF('Рейтинг МКД'!$D$15="нет",7,10)</f>
        <v>#VALUE!</v>
      </c>
      <c r="E14" s="1431" t="e">
        <f t="shared" si="4"/>
        <v>#VALUE!</v>
      </c>
      <c r="F14" s="1364" t="e">
        <f t="shared" si="5"/>
        <v>#VALUE!</v>
      </c>
      <c r="G14" s="1364" t="e">
        <f t="shared" si="6"/>
        <v>#VALUE!</v>
      </c>
      <c r="H14" s="1364" t="e">
        <f t="shared" si="7"/>
        <v>#VALUE!</v>
      </c>
      <c r="I14" s="1364" t="e">
        <f t="shared" si="8"/>
        <v>#VALUE!</v>
      </c>
      <c r="J14" s="1364" t="e">
        <f t="shared" si="9"/>
        <v>#VALUE!</v>
      </c>
      <c r="K14" s="1364" t="e">
        <f t="shared" si="10"/>
        <v>#VALUE!</v>
      </c>
      <c r="L14" s="1364" t="e">
        <f t="shared" si="11"/>
        <v>#VALUE!</v>
      </c>
      <c r="M14" s="1364" t="e">
        <f t="shared" si="12"/>
        <v>#VALUE!</v>
      </c>
      <c r="N14" s="13" t="e">
        <f t="shared" si="13"/>
        <v>#VALUE!</v>
      </c>
      <c r="O14" s="13" t="e">
        <f t="shared" si="14"/>
        <v>#VALUE!</v>
      </c>
      <c r="P14" s="13" t="e">
        <f t="shared" si="14"/>
        <v>#VALUE!</v>
      </c>
      <c r="Q14" s="13" t="e">
        <f t="shared" si="14"/>
        <v>#VALUE!</v>
      </c>
      <c r="R14" s="13" t="e">
        <f t="shared" si="14"/>
        <v>#VALUE!</v>
      </c>
      <c r="S14" s="13" t="e">
        <f t="shared" si="14"/>
        <v>#VALUE!</v>
      </c>
      <c r="U14" s="13" t="str">
        <f t="shared" si="1"/>
        <v/>
      </c>
      <c r="V14" s="13" t="str">
        <f t="shared" si="2"/>
        <v/>
      </c>
      <c r="W14" s="13" t="e">
        <f t="shared" si="15"/>
        <v>#VALUE!</v>
      </c>
    </row>
    <row r="15" spans="1:23" x14ac:dyDescent="0.25">
      <c r="A15" s="1363">
        <v>0.11</v>
      </c>
      <c r="B15" s="13">
        <f t="shared" si="3"/>
        <v>0</v>
      </c>
      <c r="C15" s="1364">
        <f t="shared" si="0"/>
        <v>0</v>
      </c>
      <c r="D15" s="1431" t="e">
        <f>B15*'Рейтинг МКД'!$D$11+'кривые-экспресс'!C15+IF('Рейтинг МКД'!$D$15="нет",7,10)</f>
        <v>#VALUE!</v>
      </c>
      <c r="E15" s="1431" t="e">
        <f t="shared" si="4"/>
        <v>#VALUE!</v>
      </c>
      <c r="F15" s="1364" t="e">
        <f t="shared" si="5"/>
        <v>#VALUE!</v>
      </c>
      <c r="G15" s="1364" t="e">
        <f t="shared" si="6"/>
        <v>#VALUE!</v>
      </c>
      <c r="H15" s="1364" t="e">
        <f t="shared" si="7"/>
        <v>#VALUE!</v>
      </c>
      <c r="I15" s="1364" t="e">
        <f t="shared" si="8"/>
        <v>#VALUE!</v>
      </c>
      <c r="J15" s="1364" t="e">
        <f t="shared" si="9"/>
        <v>#VALUE!</v>
      </c>
      <c r="K15" s="1364" t="e">
        <f t="shared" si="10"/>
        <v>#VALUE!</v>
      </c>
      <c r="L15" s="1364" t="e">
        <f t="shared" si="11"/>
        <v>#VALUE!</v>
      </c>
      <c r="M15" s="1364" t="e">
        <f t="shared" si="12"/>
        <v>#VALUE!</v>
      </c>
      <c r="N15" s="13" t="e">
        <f t="shared" si="13"/>
        <v>#VALUE!</v>
      </c>
      <c r="O15" s="13" t="e">
        <f t="shared" si="14"/>
        <v>#VALUE!</v>
      </c>
      <c r="P15" s="13" t="e">
        <f t="shared" si="14"/>
        <v>#VALUE!</v>
      </c>
      <c r="Q15" s="13" t="e">
        <f t="shared" si="14"/>
        <v>#VALUE!</v>
      </c>
      <c r="R15" s="13" t="e">
        <f t="shared" si="14"/>
        <v>#VALUE!</v>
      </c>
      <c r="S15" s="13" t="e">
        <f t="shared" si="14"/>
        <v>#VALUE!</v>
      </c>
      <c r="U15" s="13" t="str">
        <f t="shared" si="1"/>
        <v/>
      </c>
      <c r="V15" s="13" t="str">
        <f t="shared" si="2"/>
        <v/>
      </c>
      <c r="W15" s="13" t="e">
        <f t="shared" si="15"/>
        <v>#VALUE!</v>
      </c>
    </row>
    <row r="16" spans="1:23" x14ac:dyDescent="0.25">
      <c r="A16" s="1363">
        <v>0.12</v>
      </c>
      <c r="B16" s="13">
        <f t="shared" si="3"/>
        <v>0</v>
      </c>
      <c r="C16" s="1364">
        <f t="shared" si="0"/>
        <v>0</v>
      </c>
      <c r="D16" s="1431" t="e">
        <f>B16*'Рейтинг МКД'!$D$11+'кривые-экспресс'!C16+IF('Рейтинг МКД'!$D$15="нет",7,10)</f>
        <v>#VALUE!</v>
      </c>
      <c r="E16" s="1431" t="e">
        <f t="shared" si="4"/>
        <v>#VALUE!</v>
      </c>
      <c r="F16" s="1364" t="e">
        <f t="shared" si="5"/>
        <v>#VALUE!</v>
      </c>
      <c r="G16" s="1364" t="e">
        <f t="shared" si="6"/>
        <v>#VALUE!</v>
      </c>
      <c r="H16" s="1364" t="e">
        <f t="shared" si="7"/>
        <v>#VALUE!</v>
      </c>
      <c r="I16" s="1364" t="e">
        <f t="shared" si="8"/>
        <v>#VALUE!</v>
      </c>
      <c r="J16" s="1364" t="e">
        <f t="shared" si="9"/>
        <v>#VALUE!</v>
      </c>
      <c r="K16" s="1364" t="e">
        <f t="shared" si="10"/>
        <v>#VALUE!</v>
      </c>
      <c r="L16" s="1364" t="e">
        <f t="shared" si="11"/>
        <v>#VALUE!</v>
      </c>
      <c r="M16" s="1364" t="e">
        <f t="shared" si="12"/>
        <v>#VALUE!</v>
      </c>
      <c r="N16" s="13" t="e">
        <f t="shared" si="13"/>
        <v>#VALUE!</v>
      </c>
      <c r="O16" s="13" t="e">
        <f t="shared" si="14"/>
        <v>#VALUE!</v>
      </c>
      <c r="P16" s="13" t="e">
        <f t="shared" si="14"/>
        <v>#VALUE!</v>
      </c>
      <c r="Q16" s="13" t="e">
        <f t="shared" si="14"/>
        <v>#VALUE!</v>
      </c>
      <c r="R16" s="13" t="e">
        <f t="shared" si="14"/>
        <v>#VALUE!</v>
      </c>
      <c r="S16" s="13" t="e">
        <f t="shared" si="14"/>
        <v>#VALUE!</v>
      </c>
      <c r="U16" s="13" t="str">
        <f t="shared" si="1"/>
        <v/>
      </c>
      <c r="V16" s="13" t="str">
        <f t="shared" si="2"/>
        <v/>
      </c>
      <c r="W16" s="13" t="e">
        <f t="shared" si="15"/>
        <v>#VALUE!</v>
      </c>
    </row>
    <row r="17" spans="1:23" x14ac:dyDescent="0.25">
      <c r="A17" s="1363">
        <v>0.13</v>
      </c>
      <c r="B17" s="13">
        <f t="shared" si="3"/>
        <v>0</v>
      </c>
      <c r="C17" s="1364">
        <f t="shared" si="0"/>
        <v>0</v>
      </c>
      <c r="D17" s="1431" t="e">
        <f>B17*'Рейтинг МКД'!$D$11+'кривые-экспресс'!C17+IF('Рейтинг МКД'!$D$15="нет",7,10)</f>
        <v>#VALUE!</v>
      </c>
      <c r="E17" s="1431" t="e">
        <f t="shared" si="4"/>
        <v>#VALUE!</v>
      </c>
      <c r="F17" s="1364" t="e">
        <f t="shared" si="5"/>
        <v>#VALUE!</v>
      </c>
      <c r="G17" s="1364" t="e">
        <f t="shared" si="6"/>
        <v>#VALUE!</v>
      </c>
      <c r="H17" s="1364" t="e">
        <f t="shared" si="7"/>
        <v>#VALUE!</v>
      </c>
      <c r="I17" s="1364" t="e">
        <f t="shared" si="8"/>
        <v>#VALUE!</v>
      </c>
      <c r="J17" s="1364" t="e">
        <f t="shared" si="9"/>
        <v>#VALUE!</v>
      </c>
      <c r="K17" s="1364" t="e">
        <f t="shared" si="10"/>
        <v>#VALUE!</v>
      </c>
      <c r="L17" s="1364" t="e">
        <f t="shared" si="11"/>
        <v>#VALUE!</v>
      </c>
      <c r="M17" s="1364" t="e">
        <f t="shared" si="12"/>
        <v>#VALUE!</v>
      </c>
      <c r="N17" s="13" t="e">
        <f t="shared" si="13"/>
        <v>#VALUE!</v>
      </c>
      <c r="O17" s="13" t="e">
        <f t="shared" si="14"/>
        <v>#VALUE!</v>
      </c>
      <c r="P17" s="13" t="e">
        <f t="shared" si="14"/>
        <v>#VALUE!</v>
      </c>
      <c r="Q17" s="13" t="e">
        <f t="shared" si="14"/>
        <v>#VALUE!</v>
      </c>
      <c r="R17" s="13" t="e">
        <f t="shared" si="14"/>
        <v>#VALUE!</v>
      </c>
      <c r="S17" s="13" t="e">
        <f t="shared" si="14"/>
        <v>#VALUE!</v>
      </c>
      <c r="U17" s="13" t="str">
        <f t="shared" si="1"/>
        <v/>
      </c>
      <c r="V17" s="13" t="str">
        <f t="shared" si="2"/>
        <v/>
      </c>
      <c r="W17" s="13" t="e">
        <f t="shared" si="15"/>
        <v>#VALUE!</v>
      </c>
    </row>
    <row r="18" spans="1:23" x14ac:dyDescent="0.25">
      <c r="A18" s="1363">
        <v>0.14000000000000001</v>
      </c>
      <c r="B18" s="13">
        <f t="shared" si="3"/>
        <v>0</v>
      </c>
      <c r="C18" s="1364">
        <f t="shared" si="0"/>
        <v>0</v>
      </c>
      <c r="D18" s="1431" t="e">
        <f>B18*'Рейтинг МКД'!$D$11+'кривые-экспресс'!C18+IF('Рейтинг МКД'!$D$15="нет",7,10)</f>
        <v>#VALUE!</v>
      </c>
      <c r="E18" s="1431" t="e">
        <f t="shared" si="4"/>
        <v>#VALUE!</v>
      </c>
      <c r="F18" s="1364" t="e">
        <f t="shared" si="5"/>
        <v>#VALUE!</v>
      </c>
      <c r="G18" s="1364" t="e">
        <f t="shared" si="6"/>
        <v>#VALUE!</v>
      </c>
      <c r="H18" s="1364" t="e">
        <f t="shared" si="7"/>
        <v>#VALUE!</v>
      </c>
      <c r="I18" s="1364" t="e">
        <f t="shared" si="8"/>
        <v>#VALUE!</v>
      </c>
      <c r="J18" s="1364" t="e">
        <f t="shared" si="9"/>
        <v>#VALUE!</v>
      </c>
      <c r="K18" s="1364" t="e">
        <f t="shared" si="10"/>
        <v>#VALUE!</v>
      </c>
      <c r="L18" s="1364" t="e">
        <f t="shared" si="11"/>
        <v>#VALUE!</v>
      </c>
      <c r="M18" s="1364" t="e">
        <f t="shared" si="12"/>
        <v>#VALUE!</v>
      </c>
      <c r="N18" s="13" t="e">
        <f t="shared" si="13"/>
        <v>#VALUE!</v>
      </c>
      <c r="O18" s="13" t="e">
        <f t="shared" si="14"/>
        <v>#VALUE!</v>
      </c>
      <c r="P18" s="13" t="e">
        <f t="shared" si="14"/>
        <v>#VALUE!</v>
      </c>
      <c r="Q18" s="13" t="e">
        <f t="shared" si="14"/>
        <v>#VALUE!</v>
      </c>
      <c r="R18" s="13" t="e">
        <f t="shared" si="14"/>
        <v>#VALUE!</v>
      </c>
      <c r="S18" s="13" t="e">
        <f t="shared" si="14"/>
        <v>#VALUE!</v>
      </c>
      <c r="U18" s="13" t="str">
        <f t="shared" si="1"/>
        <v/>
      </c>
      <c r="V18" s="13" t="str">
        <f t="shared" si="2"/>
        <v/>
      </c>
      <c r="W18" s="13" t="e">
        <f t="shared" si="15"/>
        <v>#VALUE!</v>
      </c>
    </row>
    <row r="19" spans="1:23" x14ac:dyDescent="0.25">
      <c r="A19" s="1363">
        <v>0.15</v>
      </c>
      <c r="B19" s="13">
        <f t="shared" si="3"/>
        <v>0</v>
      </c>
      <c r="C19" s="1364">
        <f t="shared" si="0"/>
        <v>0</v>
      </c>
      <c r="D19" s="1431" t="e">
        <f>B19*'Рейтинг МКД'!$D$11+'кривые-экспресс'!C19+IF('Рейтинг МКД'!$D$15="нет",7,10)</f>
        <v>#VALUE!</v>
      </c>
      <c r="E19" s="1431" t="e">
        <f t="shared" si="4"/>
        <v>#VALUE!</v>
      </c>
      <c r="F19" s="1364" t="e">
        <f t="shared" si="5"/>
        <v>#VALUE!</v>
      </c>
      <c r="G19" s="1364" t="e">
        <f t="shared" si="6"/>
        <v>#VALUE!</v>
      </c>
      <c r="H19" s="1364" t="e">
        <f t="shared" si="7"/>
        <v>#VALUE!</v>
      </c>
      <c r="I19" s="1364" t="e">
        <f t="shared" si="8"/>
        <v>#VALUE!</v>
      </c>
      <c r="J19" s="1364" t="e">
        <f t="shared" si="9"/>
        <v>#VALUE!</v>
      </c>
      <c r="K19" s="1364" t="e">
        <f t="shared" si="10"/>
        <v>#VALUE!</v>
      </c>
      <c r="L19" s="1364" t="e">
        <f t="shared" si="11"/>
        <v>#VALUE!</v>
      </c>
      <c r="M19" s="1364" t="e">
        <f t="shared" si="12"/>
        <v>#VALUE!</v>
      </c>
      <c r="N19" s="13" t="e">
        <f t="shared" si="13"/>
        <v>#VALUE!</v>
      </c>
      <c r="O19" s="13" t="e">
        <f t="shared" si="14"/>
        <v>#VALUE!</v>
      </c>
      <c r="P19" s="13" t="e">
        <f t="shared" si="14"/>
        <v>#VALUE!</v>
      </c>
      <c r="Q19" s="13" t="e">
        <f t="shared" si="14"/>
        <v>#VALUE!</v>
      </c>
      <c r="R19" s="13" t="e">
        <f t="shared" si="14"/>
        <v>#VALUE!</v>
      </c>
      <c r="S19" s="13" t="e">
        <f t="shared" si="14"/>
        <v>#VALUE!</v>
      </c>
      <c r="U19" s="13" t="str">
        <f t="shared" si="1"/>
        <v/>
      </c>
      <c r="V19" s="13" t="str">
        <f t="shared" si="2"/>
        <v/>
      </c>
      <c r="W19" s="13" t="e">
        <f t="shared" si="15"/>
        <v>#VALUE!</v>
      </c>
    </row>
    <row r="20" spans="1:23" x14ac:dyDescent="0.25">
      <c r="A20" s="1363">
        <v>0.16</v>
      </c>
      <c r="B20" s="13">
        <f t="shared" si="3"/>
        <v>0</v>
      </c>
      <c r="C20" s="1364">
        <f t="shared" si="0"/>
        <v>0</v>
      </c>
      <c r="D20" s="1431" t="e">
        <f>B20*'Рейтинг МКД'!$D$11+'кривые-экспресс'!C20+IF('Рейтинг МКД'!$D$15="нет",7,10)</f>
        <v>#VALUE!</v>
      </c>
      <c r="E20" s="1431" t="e">
        <f t="shared" si="4"/>
        <v>#VALUE!</v>
      </c>
      <c r="F20" s="1364" t="e">
        <f t="shared" si="5"/>
        <v>#VALUE!</v>
      </c>
      <c r="G20" s="1364" t="e">
        <f t="shared" si="6"/>
        <v>#VALUE!</v>
      </c>
      <c r="H20" s="1364" t="e">
        <f t="shared" si="7"/>
        <v>#VALUE!</v>
      </c>
      <c r="I20" s="1364" t="e">
        <f t="shared" si="8"/>
        <v>#VALUE!</v>
      </c>
      <c r="J20" s="1364" t="e">
        <f t="shared" si="9"/>
        <v>#VALUE!</v>
      </c>
      <c r="K20" s="1364" t="e">
        <f t="shared" si="10"/>
        <v>#VALUE!</v>
      </c>
      <c r="L20" s="1364" t="e">
        <f t="shared" si="11"/>
        <v>#VALUE!</v>
      </c>
      <c r="M20" s="1364" t="e">
        <f t="shared" si="12"/>
        <v>#VALUE!</v>
      </c>
      <c r="N20" s="13" t="e">
        <f t="shared" si="13"/>
        <v>#VALUE!</v>
      </c>
      <c r="O20" s="13" t="e">
        <f t="shared" si="14"/>
        <v>#VALUE!</v>
      </c>
      <c r="P20" s="13" t="e">
        <f t="shared" si="14"/>
        <v>#VALUE!</v>
      </c>
      <c r="Q20" s="13" t="e">
        <f t="shared" si="14"/>
        <v>#VALUE!</v>
      </c>
      <c r="R20" s="13" t="e">
        <f t="shared" si="14"/>
        <v>#VALUE!</v>
      </c>
      <c r="S20" s="13" t="e">
        <f t="shared" si="14"/>
        <v>#VALUE!</v>
      </c>
      <c r="U20" s="13" t="str">
        <f t="shared" si="1"/>
        <v/>
      </c>
      <c r="V20" s="13" t="str">
        <f t="shared" si="2"/>
        <v/>
      </c>
      <c r="W20" s="13" t="e">
        <f t="shared" si="15"/>
        <v>#VALUE!</v>
      </c>
    </row>
    <row r="21" spans="1:23" x14ac:dyDescent="0.25">
      <c r="A21" s="1363">
        <v>0.17</v>
      </c>
      <c r="B21" s="13">
        <f t="shared" si="3"/>
        <v>0</v>
      </c>
      <c r="C21" s="1364">
        <f t="shared" si="0"/>
        <v>0</v>
      </c>
      <c r="D21" s="1431" t="e">
        <f>B21*'Рейтинг МКД'!$D$11+'кривые-экспресс'!C21+IF('Рейтинг МКД'!$D$15="нет",7,10)</f>
        <v>#VALUE!</v>
      </c>
      <c r="E21" s="1431" t="e">
        <f t="shared" si="4"/>
        <v>#VALUE!</v>
      </c>
      <c r="F21" s="1364" t="e">
        <f t="shared" si="5"/>
        <v>#VALUE!</v>
      </c>
      <c r="G21" s="1364" t="e">
        <f t="shared" si="6"/>
        <v>#VALUE!</v>
      </c>
      <c r="H21" s="1364" t="e">
        <f t="shared" si="7"/>
        <v>#VALUE!</v>
      </c>
      <c r="I21" s="1364" t="e">
        <f t="shared" si="8"/>
        <v>#VALUE!</v>
      </c>
      <c r="J21" s="1364" t="e">
        <f t="shared" si="9"/>
        <v>#VALUE!</v>
      </c>
      <c r="K21" s="1364" t="e">
        <f t="shared" si="10"/>
        <v>#VALUE!</v>
      </c>
      <c r="L21" s="1364" t="e">
        <f t="shared" si="11"/>
        <v>#VALUE!</v>
      </c>
      <c r="M21" s="1364" t="e">
        <f t="shared" si="12"/>
        <v>#VALUE!</v>
      </c>
      <c r="N21" s="13" t="e">
        <f t="shared" si="13"/>
        <v>#VALUE!</v>
      </c>
      <c r="O21" s="13" t="e">
        <f t="shared" si="14"/>
        <v>#VALUE!</v>
      </c>
      <c r="P21" s="13" t="e">
        <f t="shared" si="14"/>
        <v>#VALUE!</v>
      </c>
      <c r="Q21" s="13" t="e">
        <f t="shared" si="14"/>
        <v>#VALUE!</v>
      </c>
      <c r="R21" s="13" t="e">
        <f t="shared" si="14"/>
        <v>#VALUE!</v>
      </c>
      <c r="S21" s="13" t="e">
        <f t="shared" si="14"/>
        <v>#VALUE!</v>
      </c>
      <c r="U21" s="13" t="str">
        <f t="shared" si="1"/>
        <v/>
      </c>
      <c r="V21" s="13" t="str">
        <f t="shared" si="2"/>
        <v/>
      </c>
      <c r="W21" s="13" t="e">
        <f t="shared" si="15"/>
        <v>#VALUE!</v>
      </c>
    </row>
    <row r="22" spans="1:23" x14ac:dyDescent="0.25">
      <c r="A22" s="1363">
        <v>0.18</v>
      </c>
      <c r="B22" s="13">
        <f t="shared" si="3"/>
        <v>0</v>
      </c>
      <c r="C22" s="1364">
        <f t="shared" si="0"/>
        <v>0</v>
      </c>
      <c r="D22" s="1431" t="e">
        <f>B22*'Рейтинг МКД'!$D$11+'кривые-экспресс'!C22+IF('Рейтинг МКД'!$D$15="нет",7,10)</f>
        <v>#VALUE!</v>
      </c>
      <c r="E22" s="1431" t="e">
        <f t="shared" si="4"/>
        <v>#VALUE!</v>
      </c>
      <c r="F22" s="1364" t="e">
        <f t="shared" si="5"/>
        <v>#VALUE!</v>
      </c>
      <c r="G22" s="1364" t="e">
        <f t="shared" si="6"/>
        <v>#VALUE!</v>
      </c>
      <c r="H22" s="1364" t="e">
        <f t="shared" si="7"/>
        <v>#VALUE!</v>
      </c>
      <c r="I22" s="1364" t="e">
        <f t="shared" si="8"/>
        <v>#VALUE!</v>
      </c>
      <c r="J22" s="1364" t="e">
        <f t="shared" si="9"/>
        <v>#VALUE!</v>
      </c>
      <c r="K22" s="1364" t="e">
        <f t="shared" si="10"/>
        <v>#VALUE!</v>
      </c>
      <c r="L22" s="1364" t="e">
        <f t="shared" si="11"/>
        <v>#VALUE!</v>
      </c>
      <c r="M22" s="1364" t="e">
        <f t="shared" si="12"/>
        <v>#VALUE!</v>
      </c>
      <c r="N22" s="13" t="e">
        <f t="shared" si="13"/>
        <v>#VALUE!</v>
      </c>
      <c r="O22" s="13" t="e">
        <f>O21</f>
        <v>#VALUE!</v>
      </c>
      <c r="P22" s="13" t="e">
        <f>P21</f>
        <v>#VALUE!</v>
      </c>
      <c r="Q22" s="13" t="e">
        <f>Q21</f>
        <v>#VALUE!</v>
      </c>
      <c r="R22" s="13" t="e">
        <f>R21</f>
        <v>#VALUE!</v>
      </c>
      <c r="S22" s="13" t="e">
        <f>S21</f>
        <v>#VALUE!</v>
      </c>
      <c r="U22" s="13" t="str">
        <f t="shared" si="1"/>
        <v/>
      </c>
      <c r="V22" s="13" t="str">
        <f t="shared" si="2"/>
        <v/>
      </c>
      <c r="W22" s="13" t="e">
        <f t="shared" si="15"/>
        <v>#VALUE!</v>
      </c>
    </row>
    <row r="23" spans="1:23" x14ac:dyDescent="0.25">
      <c r="A23" s="1363">
        <v>0.19</v>
      </c>
      <c r="B23" s="13">
        <f t="shared" si="3"/>
        <v>0</v>
      </c>
      <c r="C23" s="1364">
        <f t="shared" si="0"/>
        <v>0</v>
      </c>
      <c r="D23" s="1431" t="e">
        <f>B23*'Рейтинг МКД'!$D$11+'кривые-экспресс'!C23+IF('Рейтинг МКД'!$D$15="нет",7,10)</f>
        <v>#VALUE!</v>
      </c>
      <c r="E23" s="1431" t="e">
        <f t="shared" si="4"/>
        <v>#VALUE!</v>
      </c>
      <c r="F23" s="1364" t="e">
        <f t="shared" si="5"/>
        <v>#VALUE!</v>
      </c>
      <c r="G23" s="1364" t="e">
        <f t="shared" si="6"/>
        <v>#VALUE!</v>
      </c>
      <c r="H23" s="1364" t="e">
        <f t="shared" si="7"/>
        <v>#VALUE!</v>
      </c>
      <c r="I23" s="1364" t="e">
        <f t="shared" si="8"/>
        <v>#VALUE!</v>
      </c>
      <c r="J23" s="1364" t="e">
        <f t="shared" si="9"/>
        <v>#VALUE!</v>
      </c>
      <c r="K23" s="1364" t="e">
        <f t="shared" si="10"/>
        <v>#VALUE!</v>
      </c>
      <c r="L23" s="1364" t="e">
        <f t="shared" si="11"/>
        <v>#VALUE!</v>
      </c>
      <c r="M23" s="1364" t="e">
        <f t="shared" si="12"/>
        <v>#VALUE!</v>
      </c>
      <c r="N23" s="13" t="e">
        <f t="shared" ref="N23:S38" si="16">N22</f>
        <v>#VALUE!</v>
      </c>
      <c r="O23" s="13" t="e">
        <f t="shared" si="16"/>
        <v>#VALUE!</v>
      </c>
      <c r="P23" s="13" t="e">
        <f t="shared" si="16"/>
        <v>#VALUE!</v>
      </c>
      <c r="Q23" s="13" t="e">
        <f t="shared" si="16"/>
        <v>#VALUE!</v>
      </c>
      <c r="R23" s="13" t="e">
        <f t="shared" si="16"/>
        <v>#VALUE!</v>
      </c>
      <c r="S23" s="13" t="e">
        <f t="shared" si="16"/>
        <v>#VALUE!</v>
      </c>
      <c r="U23" s="13" t="str">
        <f t="shared" si="1"/>
        <v/>
      </c>
      <c r="V23" s="13" t="str">
        <f t="shared" si="2"/>
        <v/>
      </c>
      <c r="W23" s="13" t="e">
        <f t="shared" si="15"/>
        <v>#VALUE!</v>
      </c>
    </row>
    <row r="24" spans="1:23" x14ac:dyDescent="0.25">
      <c r="A24" s="1363">
        <v>0.2</v>
      </c>
      <c r="B24" s="13">
        <f t="shared" si="3"/>
        <v>0</v>
      </c>
      <c r="C24" s="1364">
        <f t="shared" si="0"/>
        <v>0</v>
      </c>
      <c r="D24" s="1431" t="e">
        <f>B24*'Рейтинг МКД'!$D$11+'кривые-экспресс'!C24+IF('Рейтинг МКД'!$D$15="нет",7,10)</f>
        <v>#VALUE!</v>
      </c>
      <c r="E24" s="1431" t="e">
        <f t="shared" si="4"/>
        <v>#VALUE!</v>
      </c>
      <c r="F24" s="1364" t="e">
        <f t="shared" si="5"/>
        <v>#VALUE!</v>
      </c>
      <c r="G24" s="1364" t="e">
        <f t="shared" si="6"/>
        <v>#VALUE!</v>
      </c>
      <c r="H24" s="1364" t="e">
        <f t="shared" si="7"/>
        <v>#VALUE!</v>
      </c>
      <c r="I24" s="1364" t="e">
        <f t="shared" si="8"/>
        <v>#VALUE!</v>
      </c>
      <c r="J24" s="1364" t="e">
        <f t="shared" si="9"/>
        <v>#VALUE!</v>
      </c>
      <c r="K24" s="1364" t="e">
        <f t="shared" si="10"/>
        <v>#VALUE!</v>
      </c>
      <c r="L24" s="1364" t="e">
        <f t="shared" si="11"/>
        <v>#VALUE!</v>
      </c>
      <c r="M24" s="1364" t="e">
        <f t="shared" si="12"/>
        <v>#VALUE!</v>
      </c>
      <c r="N24" s="13" t="e">
        <f t="shared" si="16"/>
        <v>#VALUE!</v>
      </c>
      <c r="O24" s="13" t="e">
        <f t="shared" si="16"/>
        <v>#VALUE!</v>
      </c>
      <c r="P24" s="13" t="e">
        <f t="shared" si="16"/>
        <v>#VALUE!</v>
      </c>
      <c r="Q24" s="13" t="e">
        <f t="shared" si="16"/>
        <v>#VALUE!</v>
      </c>
      <c r="R24" s="13" t="e">
        <f t="shared" si="16"/>
        <v>#VALUE!</v>
      </c>
      <c r="S24" s="13" t="e">
        <f t="shared" si="16"/>
        <v>#VALUE!</v>
      </c>
      <c r="U24" s="13" t="str">
        <f t="shared" si="1"/>
        <v/>
      </c>
      <c r="V24" s="13" t="str">
        <f t="shared" si="2"/>
        <v/>
      </c>
      <c r="W24" s="13" t="e">
        <f t="shared" si="15"/>
        <v>#VALUE!</v>
      </c>
    </row>
    <row r="25" spans="1:23" x14ac:dyDescent="0.25">
      <c r="A25" s="1363">
        <v>0.21</v>
      </c>
      <c r="B25" s="13">
        <f t="shared" si="3"/>
        <v>0</v>
      </c>
      <c r="C25" s="1364">
        <f t="shared" si="0"/>
        <v>0</v>
      </c>
      <c r="D25" s="1431" t="e">
        <f>B25*'Рейтинг МКД'!$D$11+'кривые-экспресс'!C25+IF('Рейтинг МКД'!$D$15="нет",7,10)</f>
        <v>#VALUE!</v>
      </c>
      <c r="E25" s="1431" t="e">
        <f t="shared" si="4"/>
        <v>#VALUE!</v>
      </c>
      <c r="F25" s="1364" t="e">
        <f t="shared" si="5"/>
        <v>#VALUE!</v>
      </c>
      <c r="G25" s="1364" t="e">
        <f t="shared" si="6"/>
        <v>#VALUE!</v>
      </c>
      <c r="H25" s="1364" t="e">
        <f t="shared" si="7"/>
        <v>#VALUE!</v>
      </c>
      <c r="I25" s="1364" t="e">
        <f t="shared" si="8"/>
        <v>#VALUE!</v>
      </c>
      <c r="J25" s="1364" t="e">
        <f t="shared" si="9"/>
        <v>#VALUE!</v>
      </c>
      <c r="K25" s="1364" t="e">
        <f t="shared" si="10"/>
        <v>#VALUE!</v>
      </c>
      <c r="L25" s="1364" t="e">
        <f t="shared" si="11"/>
        <v>#VALUE!</v>
      </c>
      <c r="M25" s="1364" t="e">
        <f t="shared" si="12"/>
        <v>#VALUE!</v>
      </c>
      <c r="N25" s="13" t="e">
        <f t="shared" si="16"/>
        <v>#VALUE!</v>
      </c>
      <c r="O25" s="13" t="e">
        <f t="shared" si="16"/>
        <v>#VALUE!</v>
      </c>
      <c r="P25" s="13" t="e">
        <f t="shared" si="16"/>
        <v>#VALUE!</v>
      </c>
      <c r="Q25" s="13" t="e">
        <f t="shared" si="16"/>
        <v>#VALUE!</v>
      </c>
      <c r="R25" s="13" t="e">
        <f t="shared" si="16"/>
        <v>#VALUE!</v>
      </c>
      <c r="S25" s="13" t="e">
        <f t="shared" si="16"/>
        <v>#VALUE!</v>
      </c>
      <c r="U25" s="13" t="str">
        <f t="shared" si="1"/>
        <v/>
      </c>
      <c r="V25" s="13" t="str">
        <f t="shared" si="2"/>
        <v/>
      </c>
      <c r="W25" s="13" t="e">
        <f t="shared" si="15"/>
        <v>#VALUE!</v>
      </c>
    </row>
    <row r="26" spans="1:23" x14ac:dyDescent="0.25">
      <c r="A26" s="1363">
        <v>0.22</v>
      </c>
      <c r="B26" s="13">
        <f t="shared" si="3"/>
        <v>0</v>
      </c>
      <c r="C26" s="1364">
        <f t="shared" si="0"/>
        <v>0</v>
      </c>
      <c r="D26" s="1431" t="e">
        <f>B26*'Рейтинг МКД'!$D$11+'кривые-экспресс'!C26+IF('Рейтинг МКД'!$D$15="нет",7,10)</f>
        <v>#VALUE!</v>
      </c>
      <c r="E26" s="1431" t="e">
        <f t="shared" si="4"/>
        <v>#VALUE!</v>
      </c>
      <c r="F26" s="1364" t="e">
        <f t="shared" si="5"/>
        <v>#VALUE!</v>
      </c>
      <c r="G26" s="1364" t="e">
        <f t="shared" si="6"/>
        <v>#VALUE!</v>
      </c>
      <c r="H26" s="1364" t="e">
        <f t="shared" si="7"/>
        <v>#VALUE!</v>
      </c>
      <c r="I26" s="1364" t="e">
        <f t="shared" si="8"/>
        <v>#VALUE!</v>
      </c>
      <c r="J26" s="1364" t="e">
        <f t="shared" si="9"/>
        <v>#VALUE!</v>
      </c>
      <c r="K26" s="1364" t="e">
        <f t="shared" si="10"/>
        <v>#VALUE!</v>
      </c>
      <c r="L26" s="1364" t="e">
        <f t="shared" si="11"/>
        <v>#VALUE!</v>
      </c>
      <c r="M26" s="1364" t="e">
        <f t="shared" si="12"/>
        <v>#VALUE!</v>
      </c>
      <c r="N26" s="13" t="e">
        <f t="shared" si="16"/>
        <v>#VALUE!</v>
      </c>
      <c r="O26" s="13" t="e">
        <f t="shared" si="16"/>
        <v>#VALUE!</v>
      </c>
      <c r="P26" s="13" t="e">
        <f t="shared" si="16"/>
        <v>#VALUE!</v>
      </c>
      <c r="Q26" s="13" t="e">
        <f t="shared" si="16"/>
        <v>#VALUE!</v>
      </c>
      <c r="R26" s="13" t="e">
        <f t="shared" si="16"/>
        <v>#VALUE!</v>
      </c>
      <c r="S26" s="13" t="e">
        <f t="shared" si="16"/>
        <v>#VALUE!</v>
      </c>
      <c r="U26" s="13" t="str">
        <f t="shared" si="1"/>
        <v/>
      </c>
      <c r="V26" s="13" t="str">
        <f t="shared" si="2"/>
        <v/>
      </c>
      <c r="W26" s="13" t="e">
        <f t="shared" si="15"/>
        <v>#VALUE!</v>
      </c>
    </row>
    <row r="27" spans="1:23" x14ac:dyDescent="0.25">
      <c r="A27" s="1363">
        <v>0.23</v>
      </c>
      <c r="B27" s="13">
        <f t="shared" si="3"/>
        <v>0</v>
      </c>
      <c r="C27" s="1364">
        <f t="shared" si="0"/>
        <v>0</v>
      </c>
      <c r="D27" s="1431" t="e">
        <f>B27*'Рейтинг МКД'!$D$11+'кривые-экспресс'!C27+IF('Рейтинг МКД'!$D$15="нет",7,10)</f>
        <v>#VALUE!</v>
      </c>
      <c r="E27" s="1431" t="e">
        <f t="shared" si="4"/>
        <v>#VALUE!</v>
      </c>
      <c r="F27" s="1364" t="e">
        <f t="shared" si="5"/>
        <v>#VALUE!</v>
      </c>
      <c r="G27" s="1364" t="e">
        <f t="shared" si="6"/>
        <v>#VALUE!</v>
      </c>
      <c r="H27" s="1364" t="e">
        <f t="shared" si="7"/>
        <v>#VALUE!</v>
      </c>
      <c r="I27" s="1364" t="e">
        <f t="shared" si="8"/>
        <v>#VALUE!</v>
      </c>
      <c r="J27" s="1364" t="e">
        <f t="shared" si="9"/>
        <v>#VALUE!</v>
      </c>
      <c r="K27" s="1364" t="e">
        <f t="shared" si="10"/>
        <v>#VALUE!</v>
      </c>
      <c r="L27" s="1364" t="e">
        <f t="shared" si="11"/>
        <v>#VALUE!</v>
      </c>
      <c r="M27" s="1364" t="e">
        <f t="shared" si="12"/>
        <v>#VALUE!</v>
      </c>
      <c r="N27" s="13" t="e">
        <f t="shared" si="16"/>
        <v>#VALUE!</v>
      </c>
      <c r="O27" s="13" t="e">
        <f t="shared" si="16"/>
        <v>#VALUE!</v>
      </c>
      <c r="P27" s="13" t="e">
        <f t="shared" si="16"/>
        <v>#VALUE!</v>
      </c>
      <c r="Q27" s="13" t="e">
        <f t="shared" si="16"/>
        <v>#VALUE!</v>
      </c>
      <c r="R27" s="13" t="e">
        <f t="shared" si="16"/>
        <v>#VALUE!</v>
      </c>
      <c r="S27" s="13" t="e">
        <f t="shared" si="16"/>
        <v>#VALUE!</v>
      </c>
      <c r="U27" s="13" t="str">
        <f t="shared" si="1"/>
        <v/>
      </c>
      <c r="V27" s="13" t="str">
        <f t="shared" si="2"/>
        <v/>
      </c>
      <c r="W27" s="13" t="e">
        <f t="shared" si="15"/>
        <v>#VALUE!</v>
      </c>
    </row>
    <row r="28" spans="1:23" x14ac:dyDescent="0.25">
      <c r="A28" s="1363">
        <v>0.24</v>
      </c>
      <c r="B28" s="13">
        <f t="shared" si="3"/>
        <v>0</v>
      </c>
      <c r="C28" s="1364">
        <f t="shared" si="0"/>
        <v>0</v>
      </c>
      <c r="D28" s="1431" t="e">
        <f>B28*'Рейтинг МКД'!$D$11+'кривые-экспресс'!C28+IF('Рейтинг МКД'!$D$15="нет",7,10)</f>
        <v>#VALUE!</v>
      </c>
      <c r="E28" s="1431" t="e">
        <f t="shared" si="4"/>
        <v>#VALUE!</v>
      </c>
      <c r="F28" s="1364" t="e">
        <f t="shared" si="5"/>
        <v>#VALUE!</v>
      </c>
      <c r="G28" s="1364" t="e">
        <f t="shared" si="6"/>
        <v>#VALUE!</v>
      </c>
      <c r="H28" s="1364" t="e">
        <f t="shared" si="7"/>
        <v>#VALUE!</v>
      </c>
      <c r="I28" s="1364" t="e">
        <f t="shared" si="8"/>
        <v>#VALUE!</v>
      </c>
      <c r="J28" s="1364" t="e">
        <f t="shared" si="9"/>
        <v>#VALUE!</v>
      </c>
      <c r="K28" s="1364" t="e">
        <f t="shared" si="10"/>
        <v>#VALUE!</v>
      </c>
      <c r="L28" s="1364" t="e">
        <f t="shared" si="11"/>
        <v>#VALUE!</v>
      </c>
      <c r="M28" s="1364" t="e">
        <f t="shared" si="12"/>
        <v>#VALUE!</v>
      </c>
      <c r="N28" s="13" t="e">
        <f t="shared" si="16"/>
        <v>#VALUE!</v>
      </c>
      <c r="O28" s="13" t="e">
        <f t="shared" si="16"/>
        <v>#VALUE!</v>
      </c>
      <c r="P28" s="13" t="e">
        <f t="shared" si="16"/>
        <v>#VALUE!</v>
      </c>
      <c r="Q28" s="13" t="e">
        <f t="shared" si="16"/>
        <v>#VALUE!</v>
      </c>
      <c r="R28" s="13" t="e">
        <f t="shared" si="16"/>
        <v>#VALUE!</v>
      </c>
      <c r="S28" s="13" t="e">
        <f t="shared" si="16"/>
        <v>#VALUE!</v>
      </c>
      <c r="U28" s="13" t="str">
        <f t="shared" si="1"/>
        <v/>
      </c>
      <c r="V28" s="13" t="str">
        <f t="shared" si="2"/>
        <v/>
      </c>
      <c r="W28" s="13" t="e">
        <f t="shared" si="15"/>
        <v>#VALUE!</v>
      </c>
    </row>
    <row r="29" spans="1:23" x14ac:dyDescent="0.25">
      <c r="A29" s="1363">
        <v>0.25</v>
      </c>
      <c r="B29" s="13">
        <f t="shared" si="3"/>
        <v>0</v>
      </c>
      <c r="C29" s="1364">
        <f t="shared" si="0"/>
        <v>0</v>
      </c>
      <c r="D29" s="1431" t="e">
        <f>B29*'Рейтинг МКД'!$D$11+'кривые-экспресс'!C29+IF('Рейтинг МКД'!$D$15="нет",7,10)</f>
        <v>#VALUE!</v>
      </c>
      <c r="E29" s="1431" t="e">
        <f t="shared" si="4"/>
        <v>#VALUE!</v>
      </c>
      <c r="F29" s="1364" t="e">
        <f t="shared" si="5"/>
        <v>#VALUE!</v>
      </c>
      <c r="G29" s="1364" t="e">
        <f t="shared" si="6"/>
        <v>#VALUE!</v>
      </c>
      <c r="H29" s="1364" t="e">
        <f t="shared" si="7"/>
        <v>#VALUE!</v>
      </c>
      <c r="I29" s="1364" t="e">
        <f t="shared" si="8"/>
        <v>#VALUE!</v>
      </c>
      <c r="J29" s="1364" t="e">
        <f t="shared" si="9"/>
        <v>#VALUE!</v>
      </c>
      <c r="K29" s="1364" t="e">
        <f t="shared" si="10"/>
        <v>#VALUE!</v>
      </c>
      <c r="L29" s="1364" t="e">
        <f t="shared" si="11"/>
        <v>#VALUE!</v>
      </c>
      <c r="M29" s="1364" t="e">
        <f t="shared" si="12"/>
        <v>#VALUE!</v>
      </c>
      <c r="N29" s="13" t="e">
        <f t="shared" si="16"/>
        <v>#VALUE!</v>
      </c>
      <c r="O29" s="13" t="e">
        <f t="shared" si="16"/>
        <v>#VALUE!</v>
      </c>
      <c r="P29" s="13" t="e">
        <f t="shared" si="16"/>
        <v>#VALUE!</v>
      </c>
      <c r="Q29" s="13" t="e">
        <f t="shared" si="16"/>
        <v>#VALUE!</v>
      </c>
      <c r="R29" s="13" t="e">
        <f t="shared" si="16"/>
        <v>#VALUE!</v>
      </c>
      <c r="S29" s="13" t="e">
        <f t="shared" si="16"/>
        <v>#VALUE!</v>
      </c>
      <c r="U29" s="13" t="str">
        <f t="shared" si="1"/>
        <v/>
      </c>
      <c r="V29" s="13" t="str">
        <f t="shared" si="2"/>
        <v/>
      </c>
      <c r="W29" s="13" t="e">
        <f t="shared" si="15"/>
        <v>#VALUE!</v>
      </c>
    </row>
    <row r="30" spans="1:23" x14ac:dyDescent="0.25">
      <c r="A30" s="1363">
        <v>0.26</v>
      </c>
      <c r="B30" s="13">
        <f t="shared" si="3"/>
        <v>0</v>
      </c>
      <c r="C30" s="1364">
        <f t="shared" si="0"/>
        <v>0</v>
      </c>
      <c r="D30" s="1431" t="e">
        <f>B30*'Рейтинг МКД'!$D$11+'кривые-экспресс'!C30+IF('Рейтинг МКД'!$D$15="нет",7,10)</f>
        <v>#VALUE!</v>
      </c>
      <c r="E30" s="1431" t="e">
        <f t="shared" si="4"/>
        <v>#VALUE!</v>
      </c>
      <c r="F30" s="1364" t="e">
        <f t="shared" si="5"/>
        <v>#VALUE!</v>
      </c>
      <c r="G30" s="1364" t="e">
        <f t="shared" si="6"/>
        <v>#VALUE!</v>
      </c>
      <c r="H30" s="1364" t="e">
        <f t="shared" si="7"/>
        <v>#VALUE!</v>
      </c>
      <c r="I30" s="1364" t="e">
        <f t="shared" si="8"/>
        <v>#VALUE!</v>
      </c>
      <c r="J30" s="1364" t="e">
        <f t="shared" si="9"/>
        <v>#VALUE!</v>
      </c>
      <c r="K30" s="1364" t="e">
        <f t="shared" si="10"/>
        <v>#VALUE!</v>
      </c>
      <c r="L30" s="1364" t="e">
        <f t="shared" si="11"/>
        <v>#VALUE!</v>
      </c>
      <c r="M30" s="1364" t="e">
        <f t="shared" si="12"/>
        <v>#VALUE!</v>
      </c>
      <c r="N30" s="13" t="e">
        <f t="shared" si="16"/>
        <v>#VALUE!</v>
      </c>
      <c r="O30" s="13" t="e">
        <f t="shared" si="16"/>
        <v>#VALUE!</v>
      </c>
      <c r="P30" s="13" t="e">
        <f t="shared" si="16"/>
        <v>#VALUE!</v>
      </c>
      <c r="Q30" s="13" t="e">
        <f t="shared" si="16"/>
        <v>#VALUE!</v>
      </c>
      <c r="R30" s="13" t="e">
        <f t="shared" si="16"/>
        <v>#VALUE!</v>
      </c>
      <c r="S30" s="13" t="e">
        <f t="shared" si="16"/>
        <v>#VALUE!</v>
      </c>
      <c r="U30" s="13" t="str">
        <f t="shared" si="1"/>
        <v/>
      </c>
      <c r="V30" s="13" t="str">
        <f t="shared" si="2"/>
        <v/>
      </c>
      <c r="W30" s="13" t="e">
        <f t="shared" si="15"/>
        <v>#VALUE!</v>
      </c>
    </row>
    <row r="31" spans="1:23" x14ac:dyDescent="0.25">
      <c r="A31" s="1363">
        <v>0.27</v>
      </c>
      <c r="B31" s="13">
        <f t="shared" si="3"/>
        <v>0</v>
      </c>
      <c r="C31" s="1364">
        <f t="shared" si="0"/>
        <v>0</v>
      </c>
      <c r="D31" s="1431" t="e">
        <f>B31*'Рейтинг МКД'!$D$11+'кривые-экспресс'!C31+IF('Рейтинг МКД'!$D$15="нет",7,10)</f>
        <v>#VALUE!</v>
      </c>
      <c r="E31" s="1431" t="e">
        <f t="shared" si="4"/>
        <v>#VALUE!</v>
      </c>
      <c r="F31" s="1364" t="e">
        <f t="shared" si="5"/>
        <v>#VALUE!</v>
      </c>
      <c r="G31" s="1364" t="e">
        <f t="shared" si="6"/>
        <v>#VALUE!</v>
      </c>
      <c r="H31" s="1364" t="e">
        <f t="shared" si="7"/>
        <v>#VALUE!</v>
      </c>
      <c r="I31" s="1364" t="e">
        <f t="shared" si="8"/>
        <v>#VALUE!</v>
      </c>
      <c r="J31" s="1364" t="e">
        <f t="shared" si="9"/>
        <v>#VALUE!</v>
      </c>
      <c r="K31" s="1364" t="e">
        <f t="shared" si="10"/>
        <v>#VALUE!</v>
      </c>
      <c r="L31" s="1364" t="e">
        <f t="shared" si="11"/>
        <v>#VALUE!</v>
      </c>
      <c r="M31" s="1364" t="e">
        <f t="shared" si="12"/>
        <v>#VALUE!</v>
      </c>
      <c r="N31" s="13" t="e">
        <f t="shared" si="16"/>
        <v>#VALUE!</v>
      </c>
      <c r="O31" s="13" t="e">
        <f t="shared" si="16"/>
        <v>#VALUE!</v>
      </c>
      <c r="P31" s="13" t="e">
        <f t="shared" si="16"/>
        <v>#VALUE!</v>
      </c>
      <c r="Q31" s="13" t="e">
        <f t="shared" si="16"/>
        <v>#VALUE!</v>
      </c>
      <c r="R31" s="13" t="e">
        <f t="shared" si="16"/>
        <v>#VALUE!</v>
      </c>
      <c r="S31" s="13" t="e">
        <f t="shared" si="16"/>
        <v>#VALUE!</v>
      </c>
      <c r="U31" s="13" t="str">
        <f t="shared" si="1"/>
        <v/>
      </c>
      <c r="V31" s="13" t="str">
        <f t="shared" si="2"/>
        <v/>
      </c>
      <c r="W31" s="13" t="e">
        <f t="shared" si="15"/>
        <v>#VALUE!</v>
      </c>
    </row>
    <row r="32" spans="1:23" x14ac:dyDescent="0.25">
      <c r="A32" s="1363">
        <v>0.28000000000000003</v>
      </c>
      <c r="B32" s="13">
        <f t="shared" si="3"/>
        <v>0</v>
      </c>
      <c r="C32" s="1364">
        <f t="shared" si="0"/>
        <v>0</v>
      </c>
      <c r="D32" s="1431" t="e">
        <f>B32*'Рейтинг МКД'!$D$11+'кривые-экспресс'!C32+IF('Рейтинг МКД'!$D$15="нет",7,10)</f>
        <v>#VALUE!</v>
      </c>
      <c r="E32" s="1431" t="e">
        <f t="shared" si="4"/>
        <v>#VALUE!</v>
      </c>
      <c r="F32" s="1364" t="e">
        <f t="shared" si="5"/>
        <v>#VALUE!</v>
      </c>
      <c r="G32" s="1364" t="e">
        <f t="shared" si="6"/>
        <v>#VALUE!</v>
      </c>
      <c r="H32" s="1364" t="e">
        <f t="shared" si="7"/>
        <v>#VALUE!</v>
      </c>
      <c r="I32" s="1364" t="e">
        <f t="shared" si="8"/>
        <v>#VALUE!</v>
      </c>
      <c r="J32" s="1364" t="e">
        <f t="shared" si="9"/>
        <v>#VALUE!</v>
      </c>
      <c r="K32" s="1364" t="e">
        <f t="shared" si="10"/>
        <v>#VALUE!</v>
      </c>
      <c r="L32" s="1364" t="e">
        <f t="shared" si="11"/>
        <v>#VALUE!</v>
      </c>
      <c r="M32" s="1364" t="e">
        <f t="shared" si="12"/>
        <v>#VALUE!</v>
      </c>
      <c r="N32" s="13" t="e">
        <f t="shared" si="16"/>
        <v>#VALUE!</v>
      </c>
      <c r="O32" s="13" t="e">
        <f t="shared" si="16"/>
        <v>#VALUE!</v>
      </c>
      <c r="P32" s="13" t="e">
        <f t="shared" si="16"/>
        <v>#VALUE!</v>
      </c>
      <c r="Q32" s="13" t="e">
        <f t="shared" si="16"/>
        <v>#VALUE!</v>
      </c>
      <c r="R32" s="13" t="e">
        <f t="shared" si="16"/>
        <v>#VALUE!</v>
      </c>
      <c r="S32" s="13" t="e">
        <f t="shared" si="16"/>
        <v>#VALUE!</v>
      </c>
      <c r="U32" s="13" t="str">
        <f t="shared" si="1"/>
        <v/>
      </c>
      <c r="V32" s="13" t="str">
        <f t="shared" si="2"/>
        <v/>
      </c>
      <c r="W32" s="13" t="e">
        <f t="shared" si="15"/>
        <v>#VALUE!</v>
      </c>
    </row>
    <row r="33" spans="1:23" x14ac:dyDescent="0.25">
      <c r="A33" s="1363">
        <v>0.28999999999999998</v>
      </c>
      <c r="B33" s="13">
        <f t="shared" si="3"/>
        <v>0</v>
      </c>
      <c r="C33" s="1364">
        <f t="shared" si="0"/>
        <v>0</v>
      </c>
      <c r="D33" s="1431" t="e">
        <f>B33*'Рейтинг МКД'!$D$11+'кривые-экспресс'!C33+IF('Рейтинг МКД'!$D$15="нет",7,10)</f>
        <v>#VALUE!</v>
      </c>
      <c r="E33" s="1431" t="e">
        <f t="shared" si="4"/>
        <v>#VALUE!</v>
      </c>
      <c r="F33" s="1364" t="e">
        <f t="shared" si="5"/>
        <v>#VALUE!</v>
      </c>
      <c r="G33" s="1364" t="e">
        <f t="shared" si="6"/>
        <v>#VALUE!</v>
      </c>
      <c r="H33" s="1364" t="e">
        <f t="shared" si="7"/>
        <v>#VALUE!</v>
      </c>
      <c r="I33" s="1364" t="e">
        <f t="shared" si="8"/>
        <v>#VALUE!</v>
      </c>
      <c r="J33" s="1364" t="e">
        <f t="shared" si="9"/>
        <v>#VALUE!</v>
      </c>
      <c r="K33" s="1364" t="e">
        <f t="shared" si="10"/>
        <v>#VALUE!</v>
      </c>
      <c r="L33" s="1364" t="e">
        <f t="shared" si="11"/>
        <v>#VALUE!</v>
      </c>
      <c r="M33" s="1364" t="e">
        <f t="shared" si="12"/>
        <v>#VALUE!</v>
      </c>
      <c r="N33" s="13" t="e">
        <f t="shared" si="16"/>
        <v>#VALUE!</v>
      </c>
      <c r="O33" s="13" t="e">
        <f t="shared" si="16"/>
        <v>#VALUE!</v>
      </c>
      <c r="P33" s="13" t="e">
        <f t="shared" si="16"/>
        <v>#VALUE!</v>
      </c>
      <c r="Q33" s="13" t="e">
        <f t="shared" si="16"/>
        <v>#VALUE!</v>
      </c>
      <c r="R33" s="13" t="e">
        <f t="shared" si="16"/>
        <v>#VALUE!</v>
      </c>
      <c r="S33" s="13" t="e">
        <f t="shared" si="16"/>
        <v>#VALUE!</v>
      </c>
      <c r="U33" s="13" t="str">
        <f t="shared" si="1"/>
        <v/>
      </c>
      <c r="V33" s="13" t="str">
        <f t="shared" si="2"/>
        <v/>
      </c>
      <c r="W33" s="13" t="e">
        <f t="shared" si="15"/>
        <v>#VALUE!</v>
      </c>
    </row>
    <row r="34" spans="1:23" x14ac:dyDescent="0.25">
      <c r="A34" s="1363">
        <v>0.3</v>
      </c>
      <c r="B34" s="13">
        <f t="shared" si="3"/>
        <v>0</v>
      </c>
      <c r="C34" s="1364">
        <f t="shared" si="0"/>
        <v>0</v>
      </c>
      <c r="D34" s="1431" t="e">
        <f>B34*'Рейтинг МКД'!$D$11+'кривые-экспресс'!C34+IF('Рейтинг МКД'!$D$15="нет",7,10)</f>
        <v>#VALUE!</v>
      </c>
      <c r="E34" s="1431" t="e">
        <f t="shared" si="4"/>
        <v>#VALUE!</v>
      </c>
      <c r="F34" s="1364" t="e">
        <f t="shared" si="5"/>
        <v>#VALUE!</v>
      </c>
      <c r="G34" s="1364" t="e">
        <f t="shared" si="6"/>
        <v>#VALUE!</v>
      </c>
      <c r="H34" s="1364" t="e">
        <f t="shared" si="7"/>
        <v>#VALUE!</v>
      </c>
      <c r="I34" s="1364" t="e">
        <f t="shared" si="8"/>
        <v>#VALUE!</v>
      </c>
      <c r="J34" s="1364" t="e">
        <f t="shared" si="9"/>
        <v>#VALUE!</v>
      </c>
      <c r="K34" s="1364" t="e">
        <f t="shared" si="10"/>
        <v>#VALUE!</v>
      </c>
      <c r="L34" s="1364" t="e">
        <f t="shared" si="11"/>
        <v>#VALUE!</v>
      </c>
      <c r="M34" s="1364" t="e">
        <f t="shared" si="12"/>
        <v>#VALUE!</v>
      </c>
      <c r="N34" s="13" t="e">
        <f t="shared" si="16"/>
        <v>#VALUE!</v>
      </c>
      <c r="O34" s="13" t="e">
        <f t="shared" si="16"/>
        <v>#VALUE!</v>
      </c>
      <c r="P34" s="13" t="e">
        <f t="shared" si="16"/>
        <v>#VALUE!</v>
      </c>
      <c r="Q34" s="13" t="e">
        <f t="shared" si="16"/>
        <v>#VALUE!</v>
      </c>
      <c r="R34" s="13" t="e">
        <f t="shared" si="16"/>
        <v>#VALUE!</v>
      </c>
      <c r="S34" s="13" t="e">
        <f t="shared" si="16"/>
        <v>#VALUE!</v>
      </c>
      <c r="U34" s="13" t="str">
        <f t="shared" si="1"/>
        <v/>
      </c>
      <c r="V34" s="13" t="str">
        <f t="shared" si="2"/>
        <v/>
      </c>
      <c r="W34" s="13" t="e">
        <f t="shared" si="15"/>
        <v>#VALUE!</v>
      </c>
    </row>
    <row r="35" spans="1:23" x14ac:dyDescent="0.25">
      <c r="A35" s="1363">
        <v>0.31</v>
      </c>
      <c r="B35" s="13">
        <f t="shared" si="3"/>
        <v>0</v>
      </c>
      <c r="C35" s="1364">
        <f t="shared" si="0"/>
        <v>0</v>
      </c>
      <c r="D35" s="1431" t="e">
        <f>B35*'Рейтинг МКД'!$D$11+'кривые-экспресс'!C35+IF('Рейтинг МКД'!$D$15="нет",7,10)</f>
        <v>#VALUE!</v>
      </c>
      <c r="E35" s="1431" t="e">
        <f t="shared" si="4"/>
        <v>#VALUE!</v>
      </c>
      <c r="F35" s="1364" t="e">
        <f t="shared" si="5"/>
        <v>#VALUE!</v>
      </c>
      <c r="G35" s="1364" t="e">
        <f t="shared" si="6"/>
        <v>#VALUE!</v>
      </c>
      <c r="H35" s="1364" t="e">
        <f t="shared" si="7"/>
        <v>#VALUE!</v>
      </c>
      <c r="I35" s="1364" t="e">
        <f t="shared" si="8"/>
        <v>#VALUE!</v>
      </c>
      <c r="J35" s="1364" t="e">
        <f t="shared" si="9"/>
        <v>#VALUE!</v>
      </c>
      <c r="K35" s="1364" t="e">
        <f t="shared" si="10"/>
        <v>#VALUE!</v>
      </c>
      <c r="L35" s="1364" t="e">
        <f t="shared" si="11"/>
        <v>#VALUE!</v>
      </c>
      <c r="M35" s="1364" t="e">
        <f t="shared" si="12"/>
        <v>#VALUE!</v>
      </c>
      <c r="N35" s="13" t="e">
        <f t="shared" si="16"/>
        <v>#VALUE!</v>
      </c>
      <c r="O35" s="13" t="e">
        <f t="shared" si="16"/>
        <v>#VALUE!</v>
      </c>
      <c r="P35" s="13" t="e">
        <f t="shared" si="16"/>
        <v>#VALUE!</v>
      </c>
      <c r="Q35" s="13" t="e">
        <f t="shared" si="16"/>
        <v>#VALUE!</v>
      </c>
      <c r="R35" s="13" t="e">
        <f t="shared" si="16"/>
        <v>#VALUE!</v>
      </c>
      <c r="S35" s="13" t="e">
        <f t="shared" si="16"/>
        <v>#VALUE!</v>
      </c>
      <c r="U35" s="13" t="str">
        <f t="shared" si="1"/>
        <v/>
      </c>
      <c r="V35" s="13" t="str">
        <f t="shared" si="2"/>
        <v/>
      </c>
      <c r="W35" s="13" t="e">
        <f t="shared" si="15"/>
        <v>#VALUE!</v>
      </c>
    </row>
    <row r="36" spans="1:23" x14ac:dyDescent="0.25">
      <c r="A36" s="1363">
        <v>0.32</v>
      </c>
      <c r="B36" s="13">
        <f t="shared" si="3"/>
        <v>0</v>
      </c>
      <c r="C36" s="1364">
        <f t="shared" si="0"/>
        <v>0</v>
      </c>
      <c r="D36" s="1431" t="e">
        <f>B36*'Рейтинг МКД'!$D$11+'кривые-экспресс'!C36+IF('Рейтинг МКД'!$D$15="нет",7,10)</f>
        <v>#VALUE!</v>
      </c>
      <c r="E36" s="1431" t="e">
        <f t="shared" si="4"/>
        <v>#VALUE!</v>
      </c>
      <c r="F36" s="1364" t="e">
        <f t="shared" si="5"/>
        <v>#VALUE!</v>
      </c>
      <c r="G36" s="1364" t="e">
        <f t="shared" si="6"/>
        <v>#VALUE!</v>
      </c>
      <c r="H36" s="1364" t="e">
        <f t="shared" si="7"/>
        <v>#VALUE!</v>
      </c>
      <c r="I36" s="1364" t="e">
        <f t="shared" si="8"/>
        <v>#VALUE!</v>
      </c>
      <c r="J36" s="1364" t="e">
        <f t="shared" si="9"/>
        <v>#VALUE!</v>
      </c>
      <c r="K36" s="1364" t="e">
        <f t="shared" si="10"/>
        <v>#VALUE!</v>
      </c>
      <c r="L36" s="1364" t="e">
        <f t="shared" si="11"/>
        <v>#VALUE!</v>
      </c>
      <c r="M36" s="1364" t="e">
        <f t="shared" si="12"/>
        <v>#VALUE!</v>
      </c>
      <c r="N36" s="13" t="e">
        <f t="shared" si="16"/>
        <v>#VALUE!</v>
      </c>
      <c r="O36" s="13" t="e">
        <f t="shared" si="16"/>
        <v>#VALUE!</v>
      </c>
      <c r="P36" s="13" t="e">
        <f t="shared" si="16"/>
        <v>#VALUE!</v>
      </c>
      <c r="Q36" s="13" t="e">
        <f t="shared" si="16"/>
        <v>#VALUE!</v>
      </c>
      <c r="R36" s="13" t="e">
        <f t="shared" si="16"/>
        <v>#VALUE!</v>
      </c>
      <c r="S36" s="13" t="e">
        <f t="shared" si="16"/>
        <v>#VALUE!</v>
      </c>
      <c r="U36" s="13" t="str">
        <f t="shared" si="1"/>
        <v/>
      </c>
      <c r="V36" s="13" t="str">
        <f t="shared" si="2"/>
        <v/>
      </c>
      <c r="W36" s="13" t="e">
        <f t="shared" si="15"/>
        <v>#VALUE!</v>
      </c>
    </row>
    <row r="37" spans="1:23" x14ac:dyDescent="0.25">
      <c r="A37" s="1363">
        <v>0.33</v>
      </c>
      <c r="B37" s="13">
        <f t="shared" si="3"/>
        <v>0</v>
      </c>
      <c r="C37" s="1364">
        <f t="shared" ref="C37:C68" si="17">$B$106*B245+$C$106*C245+$D$106*D245+$E$106*E245+$F$106*F245+$G$106*G245+$H$106*H245+$I$106*I245+$J$106*J245+$K$106*K245+$L$106*L245+$M$106*M245</f>
        <v>0</v>
      </c>
      <c r="D37" s="1431" t="e">
        <f>B37*'Рейтинг МКД'!$D$11+'кривые-экспресс'!C37+IF('Рейтинг МКД'!$D$15="нет",7,10)</f>
        <v>#VALUE!</v>
      </c>
      <c r="E37" s="1431" t="e">
        <f t="shared" si="4"/>
        <v>#VALUE!</v>
      </c>
      <c r="F37" s="1364" t="e">
        <f t="shared" si="5"/>
        <v>#VALUE!</v>
      </c>
      <c r="G37" s="1364" t="e">
        <f t="shared" si="6"/>
        <v>#VALUE!</v>
      </c>
      <c r="H37" s="1364" t="e">
        <f t="shared" si="7"/>
        <v>#VALUE!</v>
      </c>
      <c r="I37" s="1364" t="e">
        <f t="shared" si="8"/>
        <v>#VALUE!</v>
      </c>
      <c r="J37" s="1364" t="e">
        <f t="shared" si="9"/>
        <v>#VALUE!</v>
      </c>
      <c r="K37" s="1364" t="e">
        <f t="shared" si="10"/>
        <v>#VALUE!</v>
      </c>
      <c r="L37" s="1364" t="e">
        <f t="shared" si="11"/>
        <v>#VALUE!</v>
      </c>
      <c r="M37" s="1364" t="e">
        <f t="shared" si="12"/>
        <v>#VALUE!</v>
      </c>
      <c r="N37" s="13" t="e">
        <f t="shared" si="16"/>
        <v>#VALUE!</v>
      </c>
      <c r="O37" s="13" t="e">
        <f t="shared" si="16"/>
        <v>#VALUE!</v>
      </c>
      <c r="P37" s="13" t="e">
        <f t="shared" si="16"/>
        <v>#VALUE!</v>
      </c>
      <c r="Q37" s="13" t="e">
        <f t="shared" si="16"/>
        <v>#VALUE!</v>
      </c>
      <c r="R37" s="13" t="e">
        <f t="shared" si="16"/>
        <v>#VALUE!</v>
      </c>
      <c r="S37" s="13" t="e">
        <f t="shared" si="16"/>
        <v>#VALUE!</v>
      </c>
      <c r="U37" s="13" t="str">
        <f t="shared" ref="U37:U68" si="18">IF(AND($U$3&gt;=B37,$U$3&lt;B38),$U$3,"")</f>
        <v/>
      </c>
      <c r="V37" s="13" t="str">
        <f t="shared" ref="V37:V68" si="19">IF(AND($V$3&gt;=C37,$V$3&lt;C38),$V$3,"")</f>
        <v/>
      </c>
      <c r="W37" s="13" t="e">
        <f t="shared" si="15"/>
        <v>#VALUE!</v>
      </c>
    </row>
    <row r="38" spans="1:23" x14ac:dyDescent="0.25">
      <c r="A38" s="1363">
        <v>0.34</v>
      </c>
      <c r="B38" s="13">
        <f t="shared" si="3"/>
        <v>0</v>
      </c>
      <c r="C38" s="1364">
        <f t="shared" si="17"/>
        <v>0</v>
      </c>
      <c r="D38" s="1431" t="e">
        <f>B38*'Рейтинг МКД'!$D$11+'кривые-экспресс'!C38+IF('Рейтинг МКД'!$D$15="нет",7,10)</f>
        <v>#VALUE!</v>
      </c>
      <c r="E38" s="1431" t="e">
        <f t="shared" si="4"/>
        <v>#VALUE!</v>
      </c>
      <c r="F38" s="1364" t="e">
        <f t="shared" si="5"/>
        <v>#VALUE!</v>
      </c>
      <c r="G38" s="1364" t="e">
        <f t="shared" si="6"/>
        <v>#VALUE!</v>
      </c>
      <c r="H38" s="1364" t="e">
        <f t="shared" si="7"/>
        <v>#VALUE!</v>
      </c>
      <c r="I38" s="1364" t="e">
        <f t="shared" si="8"/>
        <v>#VALUE!</v>
      </c>
      <c r="J38" s="1364" t="e">
        <f t="shared" si="9"/>
        <v>#VALUE!</v>
      </c>
      <c r="K38" s="1364" t="e">
        <f t="shared" si="10"/>
        <v>#VALUE!</v>
      </c>
      <c r="L38" s="1364" t="e">
        <f t="shared" si="11"/>
        <v>#VALUE!</v>
      </c>
      <c r="M38" s="1364" t="e">
        <f t="shared" si="12"/>
        <v>#VALUE!</v>
      </c>
      <c r="N38" s="13" t="e">
        <f t="shared" si="16"/>
        <v>#VALUE!</v>
      </c>
      <c r="O38" s="13" t="e">
        <f t="shared" si="16"/>
        <v>#VALUE!</v>
      </c>
      <c r="P38" s="13" t="e">
        <f t="shared" si="16"/>
        <v>#VALUE!</v>
      </c>
      <c r="Q38" s="13" t="e">
        <f t="shared" si="16"/>
        <v>#VALUE!</v>
      </c>
      <c r="R38" s="13" t="e">
        <f t="shared" si="16"/>
        <v>#VALUE!</v>
      </c>
      <c r="S38" s="13" t="e">
        <f t="shared" si="16"/>
        <v>#VALUE!</v>
      </c>
      <c r="U38" s="13" t="str">
        <f t="shared" si="18"/>
        <v/>
      </c>
      <c r="V38" s="13" t="str">
        <f t="shared" si="19"/>
        <v/>
      </c>
      <c r="W38" s="13" t="e">
        <f t="shared" si="15"/>
        <v>#VALUE!</v>
      </c>
    </row>
    <row r="39" spans="1:23" x14ac:dyDescent="0.25">
      <c r="A39" s="1363">
        <v>0.35</v>
      </c>
      <c r="B39" s="13">
        <f t="shared" si="3"/>
        <v>0</v>
      </c>
      <c r="C39" s="1364">
        <f t="shared" si="17"/>
        <v>0</v>
      </c>
      <c r="D39" s="1431" t="e">
        <f>B39*'Рейтинг МКД'!$D$11+'кривые-экспресс'!C39+IF('Рейтинг МКД'!$D$15="нет",7,10)</f>
        <v>#VALUE!</v>
      </c>
      <c r="E39" s="1431" t="e">
        <f t="shared" si="4"/>
        <v>#VALUE!</v>
      </c>
      <c r="F39" s="1364" t="e">
        <f t="shared" si="5"/>
        <v>#VALUE!</v>
      </c>
      <c r="G39" s="1364" t="e">
        <f t="shared" si="6"/>
        <v>#VALUE!</v>
      </c>
      <c r="H39" s="1364" t="e">
        <f t="shared" si="7"/>
        <v>#VALUE!</v>
      </c>
      <c r="I39" s="1364" t="e">
        <f t="shared" si="8"/>
        <v>#VALUE!</v>
      </c>
      <c r="J39" s="1364" t="e">
        <f t="shared" si="9"/>
        <v>#VALUE!</v>
      </c>
      <c r="K39" s="1364" t="e">
        <f t="shared" si="10"/>
        <v>#VALUE!</v>
      </c>
      <c r="L39" s="1364" t="e">
        <f t="shared" si="11"/>
        <v>#VALUE!</v>
      </c>
      <c r="M39" s="1364" t="e">
        <f t="shared" si="12"/>
        <v>#VALUE!</v>
      </c>
      <c r="N39" s="13" t="e">
        <f t="shared" ref="N39:S54" si="20">N38</f>
        <v>#VALUE!</v>
      </c>
      <c r="O39" s="13" t="e">
        <f t="shared" si="20"/>
        <v>#VALUE!</v>
      </c>
      <c r="P39" s="13" t="e">
        <f t="shared" si="20"/>
        <v>#VALUE!</v>
      </c>
      <c r="Q39" s="13" t="e">
        <f t="shared" si="20"/>
        <v>#VALUE!</v>
      </c>
      <c r="R39" s="13" t="e">
        <f t="shared" si="20"/>
        <v>#VALUE!</v>
      </c>
      <c r="S39" s="13" t="e">
        <f t="shared" si="20"/>
        <v>#VALUE!</v>
      </c>
      <c r="U39" s="13" t="str">
        <f t="shared" si="18"/>
        <v/>
      </c>
      <c r="V39" s="13" t="str">
        <f t="shared" si="19"/>
        <v/>
      </c>
      <c r="W39" s="13" t="e">
        <f t="shared" si="15"/>
        <v>#VALUE!</v>
      </c>
    </row>
    <row r="40" spans="1:23" x14ac:dyDescent="0.25">
      <c r="A40" s="1363">
        <v>0.36</v>
      </c>
      <c r="B40" s="13">
        <f t="shared" si="3"/>
        <v>0</v>
      </c>
      <c r="C40" s="1364">
        <f t="shared" si="17"/>
        <v>0</v>
      </c>
      <c r="D40" s="1431" t="e">
        <f>B40*'Рейтинг МКД'!$D$11+'кривые-экспресс'!C40+IF('Рейтинг МКД'!$D$15="нет",7,10)</f>
        <v>#VALUE!</v>
      </c>
      <c r="E40" s="1431" t="e">
        <f t="shared" si="4"/>
        <v>#VALUE!</v>
      </c>
      <c r="F40" s="1364" t="e">
        <f t="shared" si="5"/>
        <v>#VALUE!</v>
      </c>
      <c r="G40" s="1364" t="e">
        <f t="shared" si="6"/>
        <v>#VALUE!</v>
      </c>
      <c r="H40" s="1364" t="e">
        <f t="shared" si="7"/>
        <v>#VALUE!</v>
      </c>
      <c r="I40" s="1364" t="e">
        <f t="shared" si="8"/>
        <v>#VALUE!</v>
      </c>
      <c r="J40" s="1364" t="e">
        <f t="shared" si="9"/>
        <v>#VALUE!</v>
      </c>
      <c r="K40" s="1364" t="e">
        <f t="shared" si="10"/>
        <v>#VALUE!</v>
      </c>
      <c r="L40" s="1364" t="e">
        <f t="shared" si="11"/>
        <v>#VALUE!</v>
      </c>
      <c r="M40" s="1364" t="e">
        <f t="shared" si="12"/>
        <v>#VALUE!</v>
      </c>
      <c r="N40" s="13" t="e">
        <f t="shared" si="20"/>
        <v>#VALUE!</v>
      </c>
      <c r="O40" s="13" t="e">
        <f t="shared" si="20"/>
        <v>#VALUE!</v>
      </c>
      <c r="P40" s="13" t="e">
        <f t="shared" si="20"/>
        <v>#VALUE!</v>
      </c>
      <c r="Q40" s="13" t="e">
        <f t="shared" si="20"/>
        <v>#VALUE!</v>
      </c>
      <c r="R40" s="13" t="e">
        <f t="shared" si="20"/>
        <v>#VALUE!</v>
      </c>
      <c r="S40" s="13" t="e">
        <f t="shared" si="20"/>
        <v>#VALUE!</v>
      </c>
      <c r="U40" s="13" t="str">
        <f t="shared" si="18"/>
        <v/>
      </c>
      <c r="V40" s="13" t="str">
        <f t="shared" si="19"/>
        <v/>
      </c>
      <c r="W40" s="13" t="e">
        <f t="shared" si="15"/>
        <v>#VALUE!</v>
      </c>
    </row>
    <row r="41" spans="1:23" x14ac:dyDescent="0.25">
      <c r="A41" s="1363">
        <v>0.37</v>
      </c>
      <c r="B41" s="13">
        <f t="shared" si="3"/>
        <v>0</v>
      </c>
      <c r="C41" s="1364">
        <f t="shared" si="17"/>
        <v>0</v>
      </c>
      <c r="D41" s="1431" t="e">
        <f>B41*'Рейтинг МКД'!$D$11+'кривые-экспресс'!C41+IF('Рейтинг МКД'!$D$15="нет",7,10)</f>
        <v>#VALUE!</v>
      </c>
      <c r="E41" s="1431" t="e">
        <f t="shared" si="4"/>
        <v>#VALUE!</v>
      </c>
      <c r="F41" s="1364" t="e">
        <f t="shared" si="5"/>
        <v>#VALUE!</v>
      </c>
      <c r="G41" s="1364" t="e">
        <f t="shared" si="6"/>
        <v>#VALUE!</v>
      </c>
      <c r="H41" s="1364" t="e">
        <f t="shared" si="7"/>
        <v>#VALUE!</v>
      </c>
      <c r="I41" s="1364" t="e">
        <f t="shared" si="8"/>
        <v>#VALUE!</v>
      </c>
      <c r="J41" s="1364" t="e">
        <f t="shared" si="9"/>
        <v>#VALUE!</v>
      </c>
      <c r="K41" s="1364" t="e">
        <f t="shared" si="10"/>
        <v>#VALUE!</v>
      </c>
      <c r="L41" s="1364" t="e">
        <f t="shared" si="11"/>
        <v>#VALUE!</v>
      </c>
      <c r="M41" s="1364" t="e">
        <f t="shared" si="12"/>
        <v>#VALUE!</v>
      </c>
      <c r="N41" s="13" t="e">
        <f t="shared" si="20"/>
        <v>#VALUE!</v>
      </c>
      <c r="O41" s="13" t="e">
        <f t="shared" si="20"/>
        <v>#VALUE!</v>
      </c>
      <c r="P41" s="13" t="e">
        <f t="shared" si="20"/>
        <v>#VALUE!</v>
      </c>
      <c r="Q41" s="13" t="e">
        <f t="shared" si="20"/>
        <v>#VALUE!</v>
      </c>
      <c r="R41" s="13" t="e">
        <f t="shared" si="20"/>
        <v>#VALUE!</v>
      </c>
      <c r="S41" s="13" t="e">
        <f t="shared" si="20"/>
        <v>#VALUE!</v>
      </c>
      <c r="U41" s="13" t="str">
        <f t="shared" si="18"/>
        <v/>
      </c>
      <c r="V41" s="13" t="str">
        <f t="shared" si="19"/>
        <v/>
      </c>
      <c r="W41" s="13" t="e">
        <f t="shared" si="15"/>
        <v>#VALUE!</v>
      </c>
    </row>
    <row r="42" spans="1:23" x14ac:dyDescent="0.25">
      <c r="A42" s="1363">
        <v>0.38</v>
      </c>
      <c r="B42" s="13">
        <f t="shared" si="3"/>
        <v>0</v>
      </c>
      <c r="C42" s="1364">
        <f t="shared" si="17"/>
        <v>0</v>
      </c>
      <c r="D42" s="1431" t="e">
        <f>B42*'Рейтинг МКД'!$D$11+'кривые-экспресс'!C42+IF('Рейтинг МКД'!$D$15="нет",7,10)</f>
        <v>#VALUE!</v>
      </c>
      <c r="E42" s="1431" t="e">
        <f t="shared" si="4"/>
        <v>#VALUE!</v>
      </c>
      <c r="F42" s="1364" t="e">
        <f t="shared" si="5"/>
        <v>#VALUE!</v>
      </c>
      <c r="G42" s="1364" t="e">
        <f t="shared" si="6"/>
        <v>#VALUE!</v>
      </c>
      <c r="H42" s="1364" t="e">
        <f t="shared" si="7"/>
        <v>#VALUE!</v>
      </c>
      <c r="I42" s="1364" t="e">
        <f t="shared" si="8"/>
        <v>#VALUE!</v>
      </c>
      <c r="J42" s="1364" t="e">
        <f t="shared" si="9"/>
        <v>#VALUE!</v>
      </c>
      <c r="K42" s="1364" t="e">
        <f t="shared" si="10"/>
        <v>#VALUE!</v>
      </c>
      <c r="L42" s="1364" t="e">
        <f t="shared" si="11"/>
        <v>#VALUE!</v>
      </c>
      <c r="M42" s="1364" t="e">
        <f t="shared" si="12"/>
        <v>#VALUE!</v>
      </c>
      <c r="N42" s="13" t="e">
        <f t="shared" si="20"/>
        <v>#VALUE!</v>
      </c>
      <c r="O42" s="13" t="e">
        <f t="shared" si="20"/>
        <v>#VALUE!</v>
      </c>
      <c r="P42" s="13" t="e">
        <f t="shared" si="20"/>
        <v>#VALUE!</v>
      </c>
      <c r="Q42" s="13" t="e">
        <f t="shared" si="20"/>
        <v>#VALUE!</v>
      </c>
      <c r="R42" s="13" t="e">
        <f t="shared" si="20"/>
        <v>#VALUE!</v>
      </c>
      <c r="S42" s="13" t="e">
        <f t="shared" si="20"/>
        <v>#VALUE!</v>
      </c>
      <c r="U42" s="13" t="str">
        <f t="shared" si="18"/>
        <v/>
      </c>
      <c r="V42" s="13" t="str">
        <f t="shared" si="19"/>
        <v/>
      </c>
      <c r="W42" s="13" t="e">
        <f t="shared" si="15"/>
        <v>#VALUE!</v>
      </c>
    </row>
    <row r="43" spans="1:23" x14ac:dyDescent="0.25">
      <c r="A43" s="1363">
        <v>0.39</v>
      </c>
      <c r="B43" s="13">
        <f t="shared" si="3"/>
        <v>0</v>
      </c>
      <c r="C43" s="1364">
        <f t="shared" si="17"/>
        <v>0</v>
      </c>
      <c r="D43" s="1431" t="e">
        <f>B43*'Рейтинг МКД'!$D$11+'кривые-экспресс'!C43+IF('Рейтинг МКД'!$D$15="нет",7,10)</f>
        <v>#VALUE!</v>
      </c>
      <c r="E43" s="1431" t="e">
        <f t="shared" si="4"/>
        <v>#VALUE!</v>
      </c>
      <c r="F43" s="1364" t="e">
        <f t="shared" si="5"/>
        <v>#VALUE!</v>
      </c>
      <c r="G43" s="1364" t="e">
        <f t="shared" si="6"/>
        <v>#VALUE!</v>
      </c>
      <c r="H43" s="1364" t="e">
        <f t="shared" si="7"/>
        <v>#VALUE!</v>
      </c>
      <c r="I43" s="1364" t="e">
        <f t="shared" si="8"/>
        <v>#VALUE!</v>
      </c>
      <c r="J43" s="1364" t="e">
        <f t="shared" si="9"/>
        <v>#VALUE!</v>
      </c>
      <c r="K43" s="1364" t="e">
        <f t="shared" si="10"/>
        <v>#VALUE!</v>
      </c>
      <c r="L43" s="1364" t="e">
        <f t="shared" si="11"/>
        <v>#VALUE!</v>
      </c>
      <c r="M43" s="1364" t="e">
        <f t="shared" si="12"/>
        <v>#VALUE!</v>
      </c>
      <c r="N43" s="13" t="e">
        <f t="shared" si="20"/>
        <v>#VALUE!</v>
      </c>
      <c r="O43" s="13" t="e">
        <f t="shared" si="20"/>
        <v>#VALUE!</v>
      </c>
      <c r="P43" s="13" t="e">
        <f t="shared" si="20"/>
        <v>#VALUE!</v>
      </c>
      <c r="Q43" s="13" t="e">
        <f t="shared" si="20"/>
        <v>#VALUE!</v>
      </c>
      <c r="R43" s="13" t="e">
        <f t="shared" si="20"/>
        <v>#VALUE!</v>
      </c>
      <c r="S43" s="13" t="e">
        <f t="shared" si="20"/>
        <v>#VALUE!</v>
      </c>
      <c r="U43" s="13" t="str">
        <f t="shared" si="18"/>
        <v/>
      </c>
      <c r="V43" s="13" t="str">
        <f t="shared" si="19"/>
        <v/>
      </c>
      <c r="W43" s="13" t="e">
        <f t="shared" si="15"/>
        <v>#VALUE!</v>
      </c>
    </row>
    <row r="44" spans="1:23" x14ac:dyDescent="0.25">
      <c r="A44" s="1363">
        <v>0.4</v>
      </c>
      <c r="B44" s="13">
        <f t="shared" si="3"/>
        <v>0</v>
      </c>
      <c r="C44" s="1364">
        <f t="shared" si="17"/>
        <v>0</v>
      </c>
      <c r="D44" s="1431" t="e">
        <f>B44*'Рейтинг МКД'!$D$11+'кривые-экспресс'!C44+IF('Рейтинг МКД'!$D$15="нет",7,10)</f>
        <v>#VALUE!</v>
      </c>
      <c r="E44" s="1431" t="e">
        <f t="shared" si="4"/>
        <v>#VALUE!</v>
      </c>
      <c r="F44" s="1364" t="e">
        <f t="shared" si="5"/>
        <v>#VALUE!</v>
      </c>
      <c r="G44" s="1364" t="e">
        <f t="shared" si="6"/>
        <v>#VALUE!</v>
      </c>
      <c r="H44" s="1364" t="e">
        <f t="shared" si="7"/>
        <v>#VALUE!</v>
      </c>
      <c r="I44" s="1364" t="e">
        <f t="shared" si="8"/>
        <v>#VALUE!</v>
      </c>
      <c r="J44" s="1364" t="e">
        <f t="shared" si="9"/>
        <v>#VALUE!</v>
      </c>
      <c r="K44" s="1364" t="e">
        <f t="shared" si="10"/>
        <v>#VALUE!</v>
      </c>
      <c r="L44" s="1364" t="e">
        <f t="shared" si="11"/>
        <v>#VALUE!</v>
      </c>
      <c r="M44" s="1364" t="e">
        <f t="shared" si="12"/>
        <v>#VALUE!</v>
      </c>
      <c r="N44" s="13" t="e">
        <f t="shared" si="20"/>
        <v>#VALUE!</v>
      </c>
      <c r="O44" s="13" t="e">
        <f t="shared" si="20"/>
        <v>#VALUE!</v>
      </c>
      <c r="P44" s="13" t="e">
        <f t="shared" si="20"/>
        <v>#VALUE!</v>
      </c>
      <c r="Q44" s="13" t="e">
        <f t="shared" si="20"/>
        <v>#VALUE!</v>
      </c>
      <c r="R44" s="13" t="e">
        <f t="shared" si="20"/>
        <v>#VALUE!</v>
      </c>
      <c r="S44" s="13" t="e">
        <f t="shared" si="20"/>
        <v>#VALUE!</v>
      </c>
      <c r="U44" s="13" t="str">
        <f t="shared" si="18"/>
        <v/>
      </c>
      <c r="V44" s="13" t="str">
        <f t="shared" si="19"/>
        <v/>
      </c>
      <c r="W44" s="13" t="e">
        <f t="shared" si="15"/>
        <v>#VALUE!</v>
      </c>
    </row>
    <row r="45" spans="1:23" x14ac:dyDescent="0.25">
      <c r="A45" s="1363">
        <v>0.41</v>
      </c>
      <c r="B45" s="13">
        <f t="shared" si="3"/>
        <v>0</v>
      </c>
      <c r="C45" s="1364">
        <f t="shared" si="17"/>
        <v>0</v>
      </c>
      <c r="D45" s="1431" t="e">
        <f>B45*'Рейтинг МКД'!$D$11+'кривые-экспресс'!C45+IF('Рейтинг МКД'!$D$15="нет",7,10)</f>
        <v>#VALUE!</v>
      </c>
      <c r="E45" s="1431" t="e">
        <f t="shared" si="4"/>
        <v>#VALUE!</v>
      </c>
      <c r="F45" s="1364" t="e">
        <f t="shared" si="5"/>
        <v>#VALUE!</v>
      </c>
      <c r="G45" s="1364" t="e">
        <f t="shared" si="6"/>
        <v>#VALUE!</v>
      </c>
      <c r="H45" s="1364" t="e">
        <f t="shared" si="7"/>
        <v>#VALUE!</v>
      </c>
      <c r="I45" s="1364" t="e">
        <f t="shared" si="8"/>
        <v>#VALUE!</v>
      </c>
      <c r="J45" s="1364" t="e">
        <f t="shared" si="9"/>
        <v>#VALUE!</v>
      </c>
      <c r="K45" s="1364" t="e">
        <f t="shared" si="10"/>
        <v>#VALUE!</v>
      </c>
      <c r="L45" s="1364" t="e">
        <f t="shared" si="11"/>
        <v>#VALUE!</v>
      </c>
      <c r="M45" s="1364" t="e">
        <f t="shared" si="12"/>
        <v>#VALUE!</v>
      </c>
      <c r="N45" s="13" t="e">
        <f t="shared" si="20"/>
        <v>#VALUE!</v>
      </c>
      <c r="O45" s="13" t="e">
        <f t="shared" si="20"/>
        <v>#VALUE!</v>
      </c>
      <c r="P45" s="13" t="e">
        <f t="shared" si="20"/>
        <v>#VALUE!</v>
      </c>
      <c r="Q45" s="13" t="e">
        <f t="shared" si="20"/>
        <v>#VALUE!</v>
      </c>
      <c r="R45" s="13" t="e">
        <f t="shared" si="20"/>
        <v>#VALUE!</v>
      </c>
      <c r="S45" s="13" t="e">
        <f t="shared" si="20"/>
        <v>#VALUE!</v>
      </c>
      <c r="U45" s="13" t="str">
        <f t="shared" si="18"/>
        <v/>
      </c>
      <c r="V45" s="13" t="str">
        <f t="shared" si="19"/>
        <v/>
      </c>
      <c r="W45" s="13" t="e">
        <f t="shared" si="15"/>
        <v>#VALUE!</v>
      </c>
    </row>
    <row r="46" spans="1:23" x14ac:dyDescent="0.25">
      <c r="A46" s="1363">
        <v>0.42</v>
      </c>
      <c r="B46" s="13">
        <f t="shared" si="3"/>
        <v>0</v>
      </c>
      <c r="C46" s="1364">
        <f t="shared" si="17"/>
        <v>0</v>
      </c>
      <c r="D46" s="1431" t="e">
        <f>B46*'Рейтинг МКД'!$D$11+'кривые-экспресс'!C46+IF('Рейтинг МКД'!$D$15="нет",7,10)</f>
        <v>#VALUE!</v>
      </c>
      <c r="E46" s="1431" t="e">
        <f t="shared" si="4"/>
        <v>#VALUE!</v>
      </c>
      <c r="F46" s="1364" t="e">
        <f t="shared" si="5"/>
        <v>#VALUE!</v>
      </c>
      <c r="G46" s="1364" t="e">
        <f t="shared" si="6"/>
        <v>#VALUE!</v>
      </c>
      <c r="H46" s="1364" t="e">
        <f t="shared" si="7"/>
        <v>#VALUE!</v>
      </c>
      <c r="I46" s="1364" t="e">
        <f t="shared" si="8"/>
        <v>#VALUE!</v>
      </c>
      <c r="J46" s="1364" t="e">
        <f t="shared" si="9"/>
        <v>#VALUE!</v>
      </c>
      <c r="K46" s="1364" t="e">
        <f t="shared" si="10"/>
        <v>#VALUE!</v>
      </c>
      <c r="L46" s="1364" t="e">
        <f t="shared" si="11"/>
        <v>#VALUE!</v>
      </c>
      <c r="M46" s="1364" t="e">
        <f t="shared" si="12"/>
        <v>#VALUE!</v>
      </c>
      <c r="N46" s="13" t="e">
        <f t="shared" si="20"/>
        <v>#VALUE!</v>
      </c>
      <c r="O46" s="13" t="e">
        <f t="shared" si="20"/>
        <v>#VALUE!</v>
      </c>
      <c r="P46" s="13" t="e">
        <f t="shared" si="20"/>
        <v>#VALUE!</v>
      </c>
      <c r="Q46" s="13" t="e">
        <f t="shared" si="20"/>
        <v>#VALUE!</v>
      </c>
      <c r="R46" s="13" t="e">
        <f t="shared" si="20"/>
        <v>#VALUE!</v>
      </c>
      <c r="S46" s="13" t="e">
        <f t="shared" si="20"/>
        <v>#VALUE!</v>
      </c>
      <c r="U46" s="13" t="str">
        <f t="shared" si="18"/>
        <v/>
      </c>
      <c r="V46" s="13" t="str">
        <f t="shared" si="19"/>
        <v/>
      </c>
      <c r="W46" s="13" t="e">
        <f t="shared" si="15"/>
        <v>#VALUE!</v>
      </c>
    </row>
    <row r="47" spans="1:23" x14ac:dyDescent="0.25">
      <c r="A47" s="1363">
        <v>0.43</v>
      </c>
      <c r="B47" s="13">
        <f t="shared" si="3"/>
        <v>0</v>
      </c>
      <c r="C47" s="1364">
        <f t="shared" si="17"/>
        <v>0</v>
      </c>
      <c r="D47" s="1431" t="e">
        <f>B47*'Рейтинг МКД'!$D$11+'кривые-экспресс'!C47+IF('Рейтинг МКД'!$D$15="нет",7,10)</f>
        <v>#VALUE!</v>
      </c>
      <c r="E47" s="1431" t="e">
        <f t="shared" si="4"/>
        <v>#VALUE!</v>
      </c>
      <c r="F47" s="1364" t="e">
        <f t="shared" si="5"/>
        <v>#VALUE!</v>
      </c>
      <c r="G47" s="1364" t="e">
        <f t="shared" si="6"/>
        <v>#VALUE!</v>
      </c>
      <c r="H47" s="1364" t="e">
        <f t="shared" si="7"/>
        <v>#VALUE!</v>
      </c>
      <c r="I47" s="1364" t="e">
        <f t="shared" si="8"/>
        <v>#VALUE!</v>
      </c>
      <c r="J47" s="1364" t="e">
        <f t="shared" si="9"/>
        <v>#VALUE!</v>
      </c>
      <c r="K47" s="1364" t="e">
        <f t="shared" si="10"/>
        <v>#VALUE!</v>
      </c>
      <c r="L47" s="1364" t="e">
        <f t="shared" si="11"/>
        <v>#VALUE!</v>
      </c>
      <c r="M47" s="1364" t="e">
        <f t="shared" si="12"/>
        <v>#VALUE!</v>
      </c>
      <c r="N47" s="13" t="e">
        <f t="shared" si="20"/>
        <v>#VALUE!</v>
      </c>
      <c r="O47" s="13" t="e">
        <f t="shared" si="20"/>
        <v>#VALUE!</v>
      </c>
      <c r="P47" s="13" t="e">
        <f t="shared" si="20"/>
        <v>#VALUE!</v>
      </c>
      <c r="Q47" s="13" t="e">
        <f t="shared" si="20"/>
        <v>#VALUE!</v>
      </c>
      <c r="R47" s="13" t="e">
        <f t="shared" si="20"/>
        <v>#VALUE!</v>
      </c>
      <c r="S47" s="13" t="e">
        <f t="shared" si="20"/>
        <v>#VALUE!</v>
      </c>
      <c r="U47" s="13" t="str">
        <f t="shared" si="18"/>
        <v/>
      </c>
      <c r="V47" s="13" t="str">
        <f t="shared" si="19"/>
        <v/>
      </c>
      <c r="W47" s="13" t="e">
        <f t="shared" si="15"/>
        <v>#VALUE!</v>
      </c>
    </row>
    <row r="48" spans="1:23" x14ac:dyDescent="0.25">
      <c r="A48" s="1363">
        <v>0.44</v>
      </c>
      <c r="B48" s="13">
        <f t="shared" si="3"/>
        <v>0</v>
      </c>
      <c r="C48" s="1364">
        <f t="shared" si="17"/>
        <v>0</v>
      </c>
      <c r="D48" s="1431" t="e">
        <f>B48*'Рейтинг МКД'!$D$11+'кривые-экспресс'!C48+IF('Рейтинг МКД'!$D$15="нет",7,10)</f>
        <v>#VALUE!</v>
      </c>
      <c r="E48" s="1431" t="e">
        <f t="shared" si="4"/>
        <v>#VALUE!</v>
      </c>
      <c r="F48" s="1364" t="e">
        <f t="shared" si="5"/>
        <v>#VALUE!</v>
      </c>
      <c r="G48" s="1364" t="e">
        <f t="shared" si="6"/>
        <v>#VALUE!</v>
      </c>
      <c r="H48" s="1364" t="e">
        <f t="shared" si="7"/>
        <v>#VALUE!</v>
      </c>
      <c r="I48" s="1364" t="e">
        <f t="shared" si="8"/>
        <v>#VALUE!</v>
      </c>
      <c r="J48" s="1364" t="e">
        <f t="shared" si="9"/>
        <v>#VALUE!</v>
      </c>
      <c r="K48" s="1364" t="e">
        <f t="shared" si="10"/>
        <v>#VALUE!</v>
      </c>
      <c r="L48" s="1364" t="e">
        <f t="shared" si="11"/>
        <v>#VALUE!</v>
      </c>
      <c r="M48" s="1364" t="e">
        <f t="shared" si="12"/>
        <v>#VALUE!</v>
      </c>
      <c r="N48" s="13" t="e">
        <f t="shared" si="20"/>
        <v>#VALUE!</v>
      </c>
      <c r="O48" s="13" t="e">
        <f t="shared" si="20"/>
        <v>#VALUE!</v>
      </c>
      <c r="P48" s="13" t="e">
        <f t="shared" si="20"/>
        <v>#VALUE!</v>
      </c>
      <c r="Q48" s="13" t="e">
        <f t="shared" si="20"/>
        <v>#VALUE!</v>
      </c>
      <c r="R48" s="13" t="e">
        <f t="shared" si="20"/>
        <v>#VALUE!</v>
      </c>
      <c r="S48" s="13" t="e">
        <f t="shared" si="20"/>
        <v>#VALUE!</v>
      </c>
      <c r="U48" s="13" t="str">
        <f t="shared" si="18"/>
        <v/>
      </c>
      <c r="V48" s="13" t="str">
        <f t="shared" si="19"/>
        <v/>
      </c>
      <c r="W48" s="13" t="e">
        <f t="shared" si="15"/>
        <v>#VALUE!</v>
      </c>
    </row>
    <row r="49" spans="1:23" x14ac:dyDescent="0.25">
      <c r="A49" s="1363">
        <v>0.45</v>
      </c>
      <c r="B49" s="13">
        <f t="shared" si="3"/>
        <v>0</v>
      </c>
      <c r="C49" s="1364">
        <f t="shared" si="17"/>
        <v>0</v>
      </c>
      <c r="D49" s="1431" t="e">
        <f>B49*'Рейтинг МКД'!$D$11+'кривые-экспресс'!C49+IF('Рейтинг МКД'!$D$15="нет",7,10)</f>
        <v>#VALUE!</v>
      </c>
      <c r="E49" s="1431" t="e">
        <f t="shared" si="4"/>
        <v>#VALUE!</v>
      </c>
      <c r="F49" s="1364" t="e">
        <f t="shared" si="5"/>
        <v>#VALUE!</v>
      </c>
      <c r="G49" s="1364" t="e">
        <f t="shared" si="6"/>
        <v>#VALUE!</v>
      </c>
      <c r="H49" s="1364" t="e">
        <f t="shared" si="7"/>
        <v>#VALUE!</v>
      </c>
      <c r="I49" s="1364" t="e">
        <f t="shared" si="8"/>
        <v>#VALUE!</v>
      </c>
      <c r="J49" s="1364" t="e">
        <f t="shared" si="9"/>
        <v>#VALUE!</v>
      </c>
      <c r="K49" s="1364" t="e">
        <f t="shared" si="10"/>
        <v>#VALUE!</v>
      </c>
      <c r="L49" s="1364" t="e">
        <f t="shared" si="11"/>
        <v>#VALUE!</v>
      </c>
      <c r="M49" s="1364" t="e">
        <f t="shared" si="12"/>
        <v>#VALUE!</v>
      </c>
      <c r="N49" s="13" t="e">
        <f t="shared" si="20"/>
        <v>#VALUE!</v>
      </c>
      <c r="O49" s="13" t="e">
        <f t="shared" si="20"/>
        <v>#VALUE!</v>
      </c>
      <c r="P49" s="13" t="e">
        <f t="shared" si="20"/>
        <v>#VALUE!</v>
      </c>
      <c r="Q49" s="13" t="e">
        <f t="shared" si="20"/>
        <v>#VALUE!</v>
      </c>
      <c r="R49" s="13" t="e">
        <f t="shared" si="20"/>
        <v>#VALUE!</v>
      </c>
      <c r="S49" s="13" t="e">
        <f t="shared" si="20"/>
        <v>#VALUE!</v>
      </c>
      <c r="U49" s="13" t="str">
        <f t="shared" si="18"/>
        <v/>
      </c>
      <c r="V49" s="13" t="str">
        <f t="shared" si="19"/>
        <v/>
      </c>
      <c r="W49" s="13" t="e">
        <f t="shared" si="15"/>
        <v>#VALUE!</v>
      </c>
    </row>
    <row r="50" spans="1:23" x14ac:dyDescent="0.25">
      <c r="A50" s="1363">
        <v>0.46</v>
      </c>
      <c r="B50" s="13">
        <f t="shared" si="3"/>
        <v>0</v>
      </c>
      <c r="C50" s="1364">
        <f t="shared" si="17"/>
        <v>0</v>
      </c>
      <c r="D50" s="1431" t="e">
        <f>B50*'Рейтинг МКД'!$D$11+'кривые-экспресс'!C50+IF('Рейтинг МКД'!$D$15="нет",7,10)</f>
        <v>#VALUE!</v>
      </c>
      <c r="E50" s="1431" t="e">
        <f t="shared" si="4"/>
        <v>#VALUE!</v>
      </c>
      <c r="F50" s="1364" t="e">
        <f t="shared" si="5"/>
        <v>#VALUE!</v>
      </c>
      <c r="G50" s="1364" t="e">
        <f t="shared" si="6"/>
        <v>#VALUE!</v>
      </c>
      <c r="H50" s="1364" t="e">
        <f t="shared" si="7"/>
        <v>#VALUE!</v>
      </c>
      <c r="I50" s="1364" t="e">
        <f t="shared" si="8"/>
        <v>#VALUE!</v>
      </c>
      <c r="J50" s="1364" t="e">
        <f t="shared" si="9"/>
        <v>#VALUE!</v>
      </c>
      <c r="K50" s="1364" t="e">
        <f t="shared" si="10"/>
        <v>#VALUE!</v>
      </c>
      <c r="L50" s="1364" t="e">
        <f t="shared" si="11"/>
        <v>#VALUE!</v>
      </c>
      <c r="M50" s="1364" t="e">
        <f t="shared" si="12"/>
        <v>#VALUE!</v>
      </c>
      <c r="N50" s="13" t="e">
        <f t="shared" si="20"/>
        <v>#VALUE!</v>
      </c>
      <c r="O50" s="13" t="e">
        <f t="shared" si="20"/>
        <v>#VALUE!</v>
      </c>
      <c r="P50" s="13" t="e">
        <f t="shared" si="20"/>
        <v>#VALUE!</v>
      </c>
      <c r="Q50" s="13" t="e">
        <f t="shared" si="20"/>
        <v>#VALUE!</v>
      </c>
      <c r="R50" s="13" t="e">
        <f t="shared" si="20"/>
        <v>#VALUE!</v>
      </c>
      <c r="S50" s="13" t="e">
        <f t="shared" si="20"/>
        <v>#VALUE!</v>
      </c>
      <c r="U50" s="13" t="str">
        <f t="shared" si="18"/>
        <v/>
      </c>
      <c r="V50" s="13" t="str">
        <f t="shared" si="19"/>
        <v/>
      </c>
      <c r="W50" s="13" t="e">
        <f t="shared" si="15"/>
        <v>#VALUE!</v>
      </c>
    </row>
    <row r="51" spans="1:23" x14ac:dyDescent="0.25">
      <c r="A51" s="1363">
        <v>0.47</v>
      </c>
      <c r="B51" s="13">
        <f t="shared" si="3"/>
        <v>0</v>
      </c>
      <c r="C51" s="1364">
        <f t="shared" si="17"/>
        <v>0</v>
      </c>
      <c r="D51" s="1431" t="e">
        <f>B51*'Рейтинг МКД'!$D$11+'кривые-экспресс'!C51+IF('Рейтинг МКД'!$D$15="нет",7,10)</f>
        <v>#VALUE!</v>
      </c>
      <c r="E51" s="1431" t="e">
        <f t="shared" si="4"/>
        <v>#VALUE!</v>
      </c>
      <c r="F51" s="1364" t="e">
        <f t="shared" si="5"/>
        <v>#VALUE!</v>
      </c>
      <c r="G51" s="1364" t="e">
        <f t="shared" si="6"/>
        <v>#VALUE!</v>
      </c>
      <c r="H51" s="1364" t="e">
        <f t="shared" si="7"/>
        <v>#VALUE!</v>
      </c>
      <c r="I51" s="1364" t="e">
        <f t="shared" si="8"/>
        <v>#VALUE!</v>
      </c>
      <c r="J51" s="1364" t="e">
        <f t="shared" si="9"/>
        <v>#VALUE!</v>
      </c>
      <c r="K51" s="1364" t="e">
        <f t="shared" si="10"/>
        <v>#VALUE!</v>
      </c>
      <c r="L51" s="1364" t="e">
        <f t="shared" si="11"/>
        <v>#VALUE!</v>
      </c>
      <c r="M51" s="1364" t="e">
        <f t="shared" si="12"/>
        <v>#VALUE!</v>
      </c>
      <c r="N51" s="13" t="e">
        <f t="shared" si="20"/>
        <v>#VALUE!</v>
      </c>
      <c r="O51" s="13" t="e">
        <f t="shared" si="20"/>
        <v>#VALUE!</v>
      </c>
      <c r="P51" s="13" t="e">
        <f t="shared" si="20"/>
        <v>#VALUE!</v>
      </c>
      <c r="Q51" s="13" t="e">
        <f t="shared" si="20"/>
        <v>#VALUE!</v>
      </c>
      <c r="R51" s="13" t="e">
        <f t="shared" si="20"/>
        <v>#VALUE!</v>
      </c>
      <c r="S51" s="13" t="e">
        <f t="shared" si="20"/>
        <v>#VALUE!</v>
      </c>
      <c r="U51" s="13" t="str">
        <f t="shared" si="18"/>
        <v/>
      </c>
      <c r="V51" s="13" t="str">
        <f t="shared" si="19"/>
        <v/>
      </c>
      <c r="W51" s="13" t="e">
        <f t="shared" si="15"/>
        <v>#VALUE!</v>
      </c>
    </row>
    <row r="52" spans="1:23" x14ac:dyDescent="0.25">
      <c r="A52" s="1363">
        <v>0.48</v>
      </c>
      <c r="B52" s="13">
        <f t="shared" si="3"/>
        <v>0</v>
      </c>
      <c r="C52" s="1364">
        <f t="shared" si="17"/>
        <v>0</v>
      </c>
      <c r="D52" s="1431" t="e">
        <f>B52*'Рейтинг МКД'!$D$11+'кривые-экспресс'!C52+IF('Рейтинг МКД'!$D$15="нет",7,10)</f>
        <v>#VALUE!</v>
      </c>
      <c r="E52" s="1431" t="e">
        <f t="shared" si="4"/>
        <v>#VALUE!</v>
      </c>
      <c r="F52" s="1364" t="e">
        <f t="shared" si="5"/>
        <v>#VALUE!</v>
      </c>
      <c r="G52" s="1364" t="e">
        <f t="shared" si="6"/>
        <v>#VALUE!</v>
      </c>
      <c r="H52" s="1364" t="e">
        <f t="shared" si="7"/>
        <v>#VALUE!</v>
      </c>
      <c r="I52" s="1364" t="e">
        <f t="shared" si="8"/>
        <v>#VALUE!</v>
      </c>
      <c r="J52" s="1364" t="e">
        <f t="shared" si="9"/>
        <v>#VALUE!</v>
      </c>
      <c r="K52" s="1364" t="e">
        <f t="shared" si="10"/>
        <v>#VALUE!</v>
      </c>
      <c r="L52" s="1364" t="e">
        <f t="shared" si="11"/>
        <v>#VALUE!</v>
      </c>
      <c r="M52" s="1364" t="e">
        <f t="shared" si="12"/>
        <v>#VALUE!</v>
      </c>
      <c r="N52" s="13" t="e">
        <f t="shared" si="20"/>
        <v>#VALUE!</v>
      </c>
      <c r="O52" s="13" t="e">
        <f t="shared" si="20"/>
        <v>#VALUE!</v>
      </c>
      <c r="P52" s="13" t="e">
        <f t="shared" si="20"/>
        <v>#VALUE!</v>
      </c>
      <c r="Q52" s="13" t="e">
        <f t="shared" si="20"/>
        <v>#VALUE!</v>
      </c>
      <c r="R52" s="13" t="e">
        <f t="shared" si="20"/>
        <v>#VALUE!</v>
      </c>
      <c r="S52" s="13" t="e">
        <f t="shared" si="20"/>
        <v>#VALUE!</v>
      </c>
      <c r="U52" s="13" t="str">
        <f t="shared" si="18"/>
        <v/>
      </c>
      <c r="V52" s="13" t="str">
        <f t="shared" si="19"/>
        <v/>
      </c>
      <c r="W52" s="13" t="e">
        <f t="shared" si="15"/>
        <v>#VALUE!</v>
      </c>
    </row>
    <row r="53" spans="1:23" x14ac:dyDescent="0.25">
      <c r="A53" s="1363">
        <v>0.49</v>
      </c>
      <c r="B53" s="13">
        <f t="shared" si="3"/>
        <v>0</v>
      </c>
      <c r="C53" s="1364">
        <f t="shared" si="17"/>
        <v>0</v>
      </c>
      <c r="D53" s="1431" t="e">
        <f>B53*'Рейтинг МКД'!$D$11+'кривые-экспресс'!C53+IF('Рейтинг МКД'!$D$15="нет",7,10)</f>
        <v>#VALUE!</v>
      </c>
      <c r="E53" s="1431" t="e">
        <f t="shared" si="4"/>
        <v>#VALUE!</v>
      </c>
      <c r="F53" s="1364" t="e">
        <f t="shared" si="5"/>
        <v>#VALUE!</v>
      </c>
      <c r="G53" s="1364" t="e">
        <f t="shared" si="6"/>
        <v>#VALUE!</v>
      </c>
      <c r="H53" s="1364" t="e">
        <f t="shared" si="7"/>
        <v>#VALUE!</v>
      </c>
      <c r="I53" s="1364" t="e">
        <f t="shared" si="8"/>
        <v>#VALUE!</v>
      </c>
      <c r="J53" s="1364" t="e">
        <f t="shared" si="9"/>
        <v>#VALUE!</v>
      </c>
      <c r="K53" s="1364" t="e">
        <f t="shared" si="10"/>
        <v>#VALUE!</v>
      </c>
      <c r="L53" s="1364" t="e">
        <f t="shared" si="11"/>
        <v>#VALUE!</v>
      </c>
      <c r="M53" s="1364" t="e">
        <f t="shared" si="12"/>
        <v>#VALUE!</v>
      </c>
      <c r="N53" s="13" t="e">
        <f t="shared" si="20"/>
        <v>#VALUE!</v>
      </c>
      <c r="O53" s="13" t="e">
        <f t="shared" si="20"/>
        <v>#VALUE!</v>
      </c>
      <c r="P53" s="13" t="e">
        <f t="shared" si="20"/>
        <v>#VALUE!</v>
      </c>
      <c r="Q53" s="13" t="e">
        <f t="shared" si="20"/>
        <v>#VALUE!</v>
      </c>
      <c r="R53" s="13" t="e">
        <f t="shared" si="20"/>
        <v>#VALUE!</v>
      </c>
      <c r="S53" s="13" t="e">
        <f t="shared" si="20"/>
        <v>#VALUE!</v>
      </c>
      <c r="U53" s="13" t="str">
        <f t="shared" si="18"/>
        <v/>
      </c>
      <c r="V53" s="13" t="str">
        <f t="shared" si="19"/>
        <v/>
      </c>
      <c r="W53" s="13" t="e">
        <f t="shared" si="15"/>
        <v>#VALUE!</v>
      </c>
    </row>
    <row r="54" spans="1:23" x14ac:dyDescent="0.25">
      <c r="A54" s="1363">
        <v>0.5</v>
      </c>
      <c r="B54" s="13">
        <f t="shared" si="3"/>
        <v>0</v>
      </c>
      <c r="C54" s="1364">
        <f t="shared" si="17"/>
        <v>0</v>
      </c>
      <c r="D54" s="1431" t="e">
        <f>B54*'Рейтинг МКД'!$D$11+'кривые-экспресс'!C54+IF('Рейтинг МКД'!$D$15="нет",7,10)</f>
        <v>#VALUE!</v>
      </c>
      <c r="E54" s="1431" t="e">
        <f t="shared" si="4"/>
        <v>#VALUE!</v>
      </c>
      <c r="F54" s="1364" t="e">
        <f t="shared" si="5"/>
        <v>#VALUE!</v>
      </c>
      <c r="G54" s="1364" t="e">
        <f t="shared" si="6"/>
        <v>#VALUE!</v>
      </c>
      <c r="H54" s="1364" t="e">
        <f t="shared" si="7"/>
        <v>#VALUE!</v>
      </c>
      <c r="I54" s="1364" t="e">
        <f t="shared" si="8"/>
        <v>#VALUE!</v>
      </c>
      <c r="J54" s="1364" t="e">
        <f t="shared" si="9"/>
        <v>#VALUE!</v>
      </c>
      <c r="K54" s="1364" t="e">
        <f t="shared" si="10"/>
        <v>#VALUE!</v>
      </c>
      <c r="L54" s="1364" t="e">
        <f t="shared" si="11"/>
        <v>#VALUE!</v>
      </c>
      <c r="M54" s="1364" t="e">
        <f t="shared" si="12"/>
        <v>#VALUE!</v>
      </c>
      <c r="N54" s="13" t="e">
        <f t="shared" si="20"/>
        <v>#VALUE!</v>
      </c>
      <c r="O54" s="13" t="e">
        <f t="shared" si="20"/>
        <v>#VALUE!</v>
      </c>
      <c r="P54" s="13" t="e">
        <f t="shared" si="20"/>
        <v>#VALUE!</v>
      </c>
      <c r="Q54" s="13" t="e">
        <f t="shared" si="20"/>
        <v>#VALUE!</v>
      </c>
      <c r="R54" s="13" t="e">
        <f t="shared" si="20"/>
        <v>#VALUE!</v>
      </c>
      <c r="S54" s="13" t="e">
        <f t="shared" si="20"/>
        <v>#VALUE!</v>
      </c>
      <c r="U54" s="13" t="str">
        <f t="shared" si="18"/>
        <v/>
      </c>
      <c r="V54" s="13" t="str">
        <f t="shared" si="19"/>
        <v/>
      </c>
      <c r="W54" s="13" t="e">
        <f t="shared" si="15"/>
        <v>#VALUE!</v>
      </c>
    </row>
    <row r="55" spans="1:23" x14ac:dyDescent="0.25">
      <c r="A55" s="1363">
        <v>0.51</v>
      </c>
      <c r="B55" s="13">
        <f t="shared" si="3"/>
        <v>0</v>
      </c>
      <c r="C55" s="1364">
        <f t="shared" si="17"/>
        <v>0</v>
      </c>
      <c r="D55" s="1431" t="e">
        <f>B55*'Рейтинг МКД'!$D$11+'кривые-экспресс'!C55+IF('Рейтинг МКД'!$D$15="нет",7,10)</f>
        <v>#VALUE!</v>
      </c>
      <c r="E55" s="1431" t="e">
        <f t="shared" si="4"/>
        <v>#VALUE!</v>
      </c>
      <c r="F55" s="1364" t="e">
        <f t="shared" si="5"/>
        <v>#VALUE!</v>
      </c>
      <c r="G55" s="1364" t="e">
        <f t="shared" si="6"/>
        <v>#VALUE!</v>
      </c>
      <c r="H55" s="1364" t="e">
        <f t="shared" si="7"/>
        <v>#VALUE!</v>
      </c>
      <c r="I55" s="1364" t="e">
        <f t="shared" si="8"/>
        <v>#VALUE!</v>
      </c>
      <c r="J55" s="1364" t="e">
        <f t="shared" si="9"/>
        <v>#VALUE!</v>
      </c>
      <c r="K55" s="1364" t="e">
        <f t="shared" si="10"/>
        <v>#VALUE!</v>
      </c>
      <c r="L55" s="1364" t="e">
        <f t="shared" si="11"/>
        <v>#VALUE!</v>
      </c>
      <c r="M55" s="1364" t="e">
        <f t="shared" si="12"/>
        <v>#VALUE!</v>
      </c>
      <c r="N55" s="13" t="e">
        <f t="shared" ref="N55:S70" si="21">N54</f>
        <v>#VALUE!</v>
      </c>
      <c r="O55" s="13" t="e">
        <f t="shared" si="21"/>
        <v>#VALUE!</v>
      </c>
      <c r="P55" s="13" t="e">
        <f t="shared" si="21"/>
        <v>#VALUE!</v>
      </c>
      <c r="Q55" s="13" t="e">
        <f t="shared" si="21"/>
        <v>#VALUE!</v>
      </c>
      <c r="R55" s="13" t="e">
        <f t="shared" si="21"/>
        <v>#VALUE!</v>
      </c>
      <c r="S55" s="13" t="e">
        <f t="shared" si="21"/>
        <v>#VALUE!</v>
      </c>
      <c r="U55" s="13" t="str">
        <f t="shared" si="18"/>
        <v/>
      </c>
      <c r="V55" s="13" t="str">
        <f t="shared" si="19"/>
        <v/>
      </c>
      <c r="W55" s="13" t="e">
        <f t="shared" si="15"/>
        <v>#VALUE!</v>
      </c>
    </row>
    <row r="56" spans="1:23" x14ac:dyDescent="0.25">
      <c r="A56" s="1363">
        <v>0.52</v>
      </c>
      <c r="B56" s="13">
        <f t="shared" si="3"/>
        <v>0</v>
      </c>
      <c r="C56" s="1364">
        <f t="shared" si="17"/>
        <v>0</v>
      </c>
      <c r="D56" s="1431" t="e">
        <f>B56*'Рейтинг МКД'!$D$11+'кривые-экспресс'!C56+IF('Рейтинг МКД'!$D$15="нет",7,10)</f>
        <v>#VALUE!</v>
      </c>
      <c r="E56" s="1431" t="e">
        <f t="shared" si="4"/>
        <v>#VALUE!</v>
      </c>
      <c r="F56" s="1364" t="e">
        <f t="shared" si="5"/>
        <v>#VALUE!</v>
      </c>
      <c r="G56" s="1364" t="e">
        <f t="shared" si="6"/>
        <v>#VALUE!</v>
      </c>
      <c r="H56" s="1364" t="e">
        <f t="shared" si="7"/>
        <v>#VALUE!</v>
      </c>
      <c r="I56" s="1364" t="e">
        <f t="shared" si="8"/>
        <v>#VALUE!</v>
      </c>
      <c r="J56" s="1364" t="e">
        <f t="shared" si="9"/>
        <v>#VALUE!</v>
      </c>
      <c r="K56" s="1364" t="e">
        <f t="shared" si="10"/>
        <v>#VALUE!</v>
      </c>
      <c r="L56" s="1364" t="e">
        <f t="shared" si="11"/>
        <v>#VALUE!</v>
      </c>
      <c r="M56" s="1364" t="e">
        <f t="shared" si="12"/>
        <v>#VALUE!</v>
      </c>
      <c r="N56" s="13" t="e">
        <f t="shared" si="21"/>
        <v>#VALUE!</v>
      </c>
      <c r="O56" s="13" t="e">
        <f t="shared" si="21"/>
        <v>#VALUE!</v>
      </c>
      <c r="P56" s="13" t="e">
        <f t="shared" si="21"/>
        <v>#VALUE!</v>
      </c>
      <c r="Q56" s="13" t="e">
        <f t="shared" si="21"/>
        <v>#VALUE!</v>
      </c>
      <c r="R56" s="13" t="e">
        <f t="shared" si="21"/>
        <v>#VALUE!</v>
      </c>
      <c r="S56" s="13" t="e">
        <f t="shared" si="21"/>
        <v>#VALUE!</v>
      </c>
      <c r="U56" s="13" t="str">
        <f t="shared" si="18"/>
        <v/>
      </c>
      <c r="V56" s="13" t="str">
        <f t="shared" si="19"/>
        <v/>
      </c>
      <c r="W56" s="13" t="e">
        <f t="shared" si="15"/>
        <v>#VALUE!</v>
      </c>
    </row>
    <row r="57" spans="1:23" x14ac:dyDescent="0.25">
      <c r="A57" s="1363">
        <v>0.53</v>
      </c>
      <c r="B57" s="13">
        <f t="shared" si="3"/>
        <v>0</v>
      </c>
      <c r="C57" s="1364">
        <f t="shared" si="17"/>
        <v>0</v>
      </c>
      <c r="D57" s="1431" t="e">
        <f>B57*'Рейтинг МКД'!$D$11+'кривые-экспресс'!C57+IF('Рейтинг МКД'!$D$15="нет",7,10)</f>
        <v>#VALUE!</v>
      </c>
      <c r="E57" s="1431" t="e">
        <f t="shared" si="4"/>
        <v>#VALUE!</v>
      </c>
      <c r="F57" s="1364" t="e">
        <f t="shared" si="5"/>
        <v>#VALUE!</v>
      </c>
      <c r="G57" s="1364" t="e">
        <f t="shared" si="6"/>
        <v>#VALUE!</v>
      </c>
      <c r="H57" s="1364" t="e">
        <f t="shared" si="7"/>
        <v>#VALUE!</v>
      </c>
      <c r="I57" s="1364" t="e">
        <f t="shared" si="8"/>
        <v>#VALUE!</v>
      </c>
      <c r="J57" s="1364" t="e">
        <f t="shared" si="9"/>
        <v>#VALUE!</v>
      </c>
      <c r="K57" s="1364" t="e">
        <f t="shared" si="10"/>
        <v>#VALUE!</v>
      </c>
      <c r="L57" s="1364" t="e">
        <f t="shared" si="11"/>
        <v>#VALUE!</v>
      </c>
      <c r="M57" s="1364" t="e">
        <f t="shared" si="12"/>
        <v>#VALUE!</v>
      </c>
      <c r="N57" s="13" t="e">
        <f t="shared" si="21"/>
        <v>#VALUE!</v>
      </c>
      <c r="O57" s="13" t="e">
        <f t="shared" si="21"/>
        <v>#VALUE!</v>
      </c>
      <c r="P57" s="13" t="e">
        <f t="shared" si="21"/>
        <v>#VALUE!</v>
      </c>
      <c r="Q57" s="13" t="e">
        <f t="shared" si="21"/>
        <v>#VALUE!</v>
      </c>
      <c r="R57" s="13" t="e">
        <f t="shared" si="21"/>
        <v>#VALUE!</v>
      </c>
      <c r="S57" s="13" t="e">
        <f t="shared" si="21"/>
        <v>#VALUE!</v>
      </c>
      <c r="U57" s="13" t="str">
        <f t="shared" si="18"/>
        <v/>
      </c>
      <c r="V57" s="13" t="str">
        <f t="shared" si="19"/>
        <v/>
      </c>
      <c r="W57" s="13" t="e">
        <f t="shared" si="15"/>
        <v>#VALUE!</v>
      </c>
    </row>
    <row r="58" spans="1:23" x14ac:dyDescent="0.25">
      <c r="A58" s="1363">
        <v>0.54</v>
      </c>
      <c r="B58" s="13">
        <f t="shared" si="3"/>
        <v>0</v>
      </c>
      <c r="C58" s="1364">
        <f t="shared" si="17"/>
        <v>0</v>
      </c>
      <c r="D58" s="1431" t="e">
        <f>B58*'Рейтинг МКД'!$D$11+'кривые-экспресс'!C58+IF('Рейтинг МКД'!$D$15="нет",7,10)</f>
        <v>#VALUE!</v>
      </c>
      <c r="E58" s="1431" t="e">
        <f t="shared" si="4"/>
        <v>#VALUE!</v>
      </c>
      <c r="F58" s="1364" t="e">
        <f t="shared" si="5"/>
        <v>#VALUE!</v>
      </c>
      <c r="G58" s="1364" t="e">
        <f t="shared" si="6"/>
        <v>#VALUE!</v>
      </c>
      <c r="H58" s="1364" t="e">
        <f t="shared" si="7"/>
        <v>#VALUE!</v>
      </c>
      <c r="I58" s="1364" t="e">
        <f t="shared" si="8"/>
        <v>#VALUE!</v>
      </c>
      <c r="J58" s="1364" t="e">
        <f t="shared" si="9"/>
        <v>#VALUE!</v>
      </c>
      <c r="K58" s="1364" t="e">
        <f t="shared" si="10"/>
        <v>#VALUE!</v>
      </c>
      <c r="L58" s="1364" t="e">
        <f t="shared" si="11"/>
        <v>#VALUE!</v>
      </c>
      <c r="M58" s="1364" t="e">
        <f t="shared" si="12"/>
        <v>#VALUE!</v>
      </c>
      <c r="N58" s="13" t="e">
        <f t="shared" si="21"/>
        <v>#VALUE!</v>
      </c>
      <c r="O58" s="13" t="e">
        <f t="shared" si="21"/>
        <v>#VALUE!</v>
      </c>
      <c r="P58" s="13" t="e">
        <f t="shared" si="21"/>
        <v>#VALUE!</v>
      </c>
      <c r="Q58" s="13" t="e">
        <f t="shared" si="21"/>
        <v>#VALUE!</v>
      </c>
      <c r="R58" s="13" t="e">
        <f t="shared" si="21"/>
        <v>#VALUE!</v>
      </c>
      <c r="S58" s="13" t="e">
        <f t="shared" si="21"/>
        <v>#VALUE!</v>
      </c>
      <c r="U58" s="13" t="str">
        <f t="shared" si="18"/>
        <v/>
      </c>
      <c r="V58" s="13" t="str">
        <f t="shared" si="19"/>
        <v/>
      </c>
      <c r="W58" s="13" t="e">
        <f t="shared" si="15"/>
        <v>#VALUE!</v>
      </c>
    </row>
    <row r="59" spans="1:23" x14ac:dyDescent="0.25">
      <c r="A59" s="1363">
        <v>0.55000000000000004</v>
      </c>
      <c r="B59" s="13">
        <f t="shared" si="3"/>
        <v>0</v>
      </c>
      <c r="C59" s="1364">
        <f t="shared" si="17"/>
        <v>0</v>
      </c>
      <c r="D59" s="1431" t="e">
        <f>B59*'Рейтинг МКД'!$D$11+'кривые-экспресс'!C59+IF('Рейтинг МКД'!$D$15="нет",7,10)</f>
        <v>#VALUE!</v>
      </c>
      <c r="E59" s="1431" t="e">
        <f t="shared" si="4"/>
        <v>#VALUE!</v>
      </c>
      <c r="F59" s="1364" t="e">
        <f t="shared" si="5"/>
        <v>#VALUE!</v>
      </c>
      <c r="G59" s="1364" t="e">
        <f t="shared" si="6"/>
        <v>#VALUE!</v>
      </c>
      <c r="H59" s="1364" t="e">
        <f t="shared" si="7"/>
        <v>#VALUE!</v>
      </c>
      <c r="I59" s="1364" t="e">
        <f t="shared" si="8"/>
        <v>#VALUE!</v>
      </c>
      <c r="J59" s="1364" t="e">
        <f t="shared" si="9"/>
        <v>#VALUE!</v>
      </c>
      <c r="K59" s="1364" t="e">
        <f t="shared" si="10"/>
        <v>#VALUE!</v>
      </c>
      <c r="L59" s="1364" t="e">
        <f t="shared" si="11"/>
        <v>#VALUE!</v>
      </c>
      <c r="M59" s="1364" t="e">
        <f t="shared" si="12"/>
        <v>#VALUE!</v>
      </c>
      <c r="N59" s="13" t="e">
        <f t="shared" si="21"/>
        <v>#VALUE!</v>
      </c>
      <c r="O59" s="13" t="e">
        <f t="shared" si="21"/>
        <v>#VALUE!</v>
      </c>
      <c r="P59" s="13" t="e">
        <f t="shared" si="21"/>
        <v>#VALUE!</v>
      </c>
      <c r="Q59" s="13" t="e">
        <f t="shared" si="21"/>
        <v>#VALUE!</v>
      </c>
      <c r="R59" s="13" t="e">
        <f t="shared" si="21"/>
        <v>#VALUE!</v>
      </c>
      <c r="S59" s="13" t="e">
        <f t="shared" si="21"/>
        <v>#VALUE!</v>
      </c>
      <c r="U59" s="13" t="str">
        <f t="shared" si="18"/>
        <v/>
      </c>
      <c r="V59" s="13" t="str">
        <f t="shared" si="19"/>
        <v/>
      </c>
      <c r="W59" s="13" t="e">
        <f t="shared" si="15"/>
        <v>#VALUE!</v>
      </c>
    </row>
    <row r="60" spans="1:23" x14ac:dyDescent="0.25">
      <c r="A60" s="1363">
        <v>0.56000000000000005</v>
      </c>
      <c r="B60" s="13">
        <f t="shared" si="3"/>
        <v>0</v>
      </c>
      <c r="C60" s="1364">
        <f t="shared" si="17"/>
        <v>0</v>
      </c>
      <c r="D60" s="1431" t="e">
        <f>B60*'Рейтинг МКД'!$D$11+'кривые-экспресс'!C60+IF('Рейтинг МКД'!$D$15="нет",7,10)</f>
        <v>#VALUE!</v>
      </c>
      <c r="E60" s="1431" t="e">
        <f t="shared" si="4"/>
        <v>#VALUE!</v>
      </c>
      <c r="F60" s="1364" t="e">
        <f t="shared" si="5"/>
        <v>#VALUE!</v>
      </c>
      <c r="G60" s="1364" t="e">
        <f t="shared" si="6"/>
        <v>#VALUE!</v>
      </c>
      <c r="H60" s="1364" t="e">
        <f t="shared" si="7"/>
        <v>#VALUE!</v>
      </c>
      <c r="I60" s="1364" t="e">
        <f t="shared" si="8"/>
        <v>#VALUE!</v>
      </c>
      <c r="J60" s="1364" t="e">
        <f t="shared" si="9"/>
        <v>#VALUE!</v>
      </c>
      <c r="K60" s="1364" t="e">
        <f t="shared" si="10"/>
        <v>#VALUE!</v>
      </c>
      <c r="L60" s="1364" t="e">
        <f t="shared" si="11"/>
        <v>#VALUE!</v>
      </c>
      <c r="M60" s="1364" t="e">
        <f t="shared" si="12"/>
        <v>#VALUE!</v>
      </c>
      <c r="N60" s="13" t="e">
        <f t="shared" si="21"/>
        <v>#VALUE!</v>
      </c>
      <c r="O60" s="13" t="e">
        <f t="shared" si="21"/>
        <v>#VALUE!</v>
      </c>
      <c r="P60" s="13" t="e">
        <f t="shared" si="21"/>
        <v>#VALUE!</v>
      </c>
      <c r="Q60" s="13" t="e">
        <f t="shared" si="21"/>
        <v>#VALUE!</v>
      </c>
      <c r="R60" s="13" t="e">
        <f t="shared" si="21"/>
        <v>#VALUE!</v>
      </c>
      <c r="S60" s="13" t="e">
        <f t="shared" si="21"/>
        <v>#VALUE!</v>
      </c>
      <c r="U60" s="13" t="str">
        <f t="shared" si="18"/>
        <v/>
      </c>
      <c r="V60" s="13" t="str">
        <f t="shared" si="19"/>
        <v/>
      </c>
      <c r="W60" s="13" t="e">
        <f t="shared" si="15"/>
        <v>#VALUE!</v>
      </c>
    </row>
    <row r="61" spans="1:23" x14ac:dyDescent="0.25">
      <c r="A61" s="1363">
        <v>0.56999999999999995</v>
      </c>
      <c r="B61" s="13">
        <f t="shared" si="3"/>
        <v>0</v>
      </c>
      <c r="C61" s="1364">
        <f t="shared" si="17"/>
        <v>0</v>
      </c>
      <c r="D61" s="1431" t="e">
        <f>B61*'Рейтинг МКД'!$D$11+'кривые-экспресс'!C61+IF('Рейтинг МКД'!$D$15="нет",7,10)</f>
        <v>#VALUE!</v>
      </c>
      <c r="E61" s="1431" t="e">
        <f t="shared" si="4"/>
        <v>#VALUE!</v>
      </c>
      <c r="F61" s="1364" t="e">
        <f t="shared" si="5"/>
        <v>#VALUE!</v>
      </c>
      <c r="G61" s="1364" t="e">
        <f t="shared" si="6"/>
        <v>#VALUE!</v>
      </c>
      <c r="H61" s="1364" t="e">
        <f t="shared" si="7"/>
        <v>#VALUE!</v>
      </c>
      <c r="I61" s="1364" t="e">
        <f t="shared" si="8"/>
        <v>#VALUE!</v>
      </c>
      <c r="J61" s="1364" t="e">
        <f t="shared" si="9"/>
        <v>#VALUE!</v>
      </c>
      <c r="K61" s="1364" t="e">
        <f t="shared" si="10"/>
        <v>#VALUE!</v>
      </c>
      <c r="L61" s="1364" t="e">
        <f t="shared" si="11"/>
        <v>#VALUE!</v>
      </c>
      <c r="M61" s="1364" t="e">
        <f t="shared" si="12"/>
        <v>#VALUE!</v>
      </c>
      <c r="N61" s="13" t="e">
        <f t="shared" si="21"/>
        <v>#VALUE!</v>
      </c>
      <c r="O61" s="13" t="e">
        <f t="shared" si="21"/>
        <v>#VALUE!</v>
      </c>
      <c r="P61" s="13" t="e">
        <f t="shared" si="21"/>
        <v>#VALUE!</v>
      </c>
      <c r="Q61" s="13" t="e">
        <f t="shared" si="21"/>
        <v>#VALUE!</v>
      </c>
      <c r="R61" s="13" t="e">
        <f t="shared" si="21"/>
        <v>#VALUE!</v>
      </c>
      <c r="S61" s="13" t="e">
        <f t="shared" si="21"/>
        <v>#VALUE!</v>
      </c>
      <c r="U61" s="13" t="str">
        <f t="shared" si="18"/>
        <v/>
      </c>
      <c r="V61" s="13" t="str">
        <f t="shared" si="19"/>
        <v/>
      </c>
      <c r="W61" s="13" t="e">
        <f t="shared" si="15"/>
        <v>#VALUE!</v>
      </c>
    </row>
    <row r="62" spans="1:23" x14ac:dyDescent="0.25">
      <c r="A62" s="1363">
        <v>0.57999999999999996</v>
      </c>
      <c r="B62" s="13">
        <f t="shared" si="3"/>
        <v>0</v>
      </c>
      <c r="C62" s="1364">
        <f t="shared" si="17"/>
        <v>0</v>
      </c>
      <c r="D62" s="1431" t="e">
        <f>B62*'Рейтинг МКД'!$D$11+'кривые-экспресс'!C62+IF('Рейтинг МКД'!$D$15="нет",7,10)</f>
        <v>#VALUE!</v>
      </c>
      <c r="E62" s="1431" t="e">
        <f t="shared" si="4"/>
        <v>#VALUE!</v>
      </c>
      <c r="F62" s="1364" t="e">
        <f t="shared" si="5"/>
        <v>#VALUE!</v>
      </c>
      <c r="G62" s="1364" t="e">
        <f t="shared" si="6"/>
        <v>#VALUE!</v>
      </c>
      <c r="H62" s="1364" t="e">
        <f t="shared" si="7"/>
        <v>#VALUE!</v>
      </c>
      <c r="I62" s="1364" t="e">
        <f t="shared" si="8"/>
        <v>#VALUE!</v>
      </c>
      <c r="J62" s="1364" t="e">
        <f t="shared" si="9"/>
        <v>#VALUE!</v>
      </c>
      <c r="K62" s="1364" t="e">
        <f t="shared" si="10"/>
        <v>#VALUE!</v>
      </c>
      <c r="L62" s="1364" t="e">
        <f t="shared" si="11"/>
        <v>#VALUE!</v>
      </c>
      <c r="M62" s="1364" t="e">
        <f t="shared" si="12"/>
        <v>#VALUE!</v>
      </c>
      <c r="N62" s="13" t="e">
        <f t="shared" si="21"/>
        <v>#VALUE!</v>
      </c>
      <c r="O62" s="13" t="e">
        <f t="shared" si="21"/>
        <v>#VALUE!</v>
      </c>
      <c r="P62" s="13" t="e">
        <f t="shared" si="21"/>
        <v>#VALUE!</v>
      </c>
      <c r="Q62" s="13" t="e">
        <f t="shared" si="21"/>
        <v>#VALUE!</v>
      </c>
      <c r="R62" s="13" t="e">
        <f t="shared" si="21"/>
        <v>#VALUE!</v>
      </c>
      <c r="S62" s="13" t="e">
        <f t="shared" si="21"/>
        <v>#VALUE!</v>
      </c>
      <c r="U62" s="13" t="str">
        <f t="shared" si="18"/>
        <v/>
      </c>
      <c r="V62" s="13" t="str">
        <f t="shared" si="19"/>
        <v/>
      </c>
      <c r="W62" s="13" t="e">
        <f t="shared" si="15"/>
        <v>#VALUE!</v>
      </c>
    </row>
    <row r="63" spans="1:23" x14ac:dyDescent="0.25">
      <c r="A63" s="1363">
        <v>0.59</v>
      </c>
      <c r="B63" s="13">
        <f t="shared" si="3"/>
        <v>0</v>
      </c>
      <c r="C63" s="1364">
        <f t="shared" si="17"/>
        <v>0</v>
      </c>
      <c r="D63" s="1431" t="e">
        <f>B63*'Рейтинг МКД'!$D$11+'кривые-экспресс'!C63+IF('Рейтинг МКД'!$D$15="нет",7,10)</f>
        <v>#VALUE!</v>
      </c>
      <c r="E63" s="1431" t="e">
        <f t="shared" si="4"/>
        <v>#VALUE!</v>
      </c>
      <c r="F63" s="1364" t="e">
        <f t="shared" si="5"/>
        <v>#VALUE!</v>
      </c>
      <c r="G63" s="1364" t="e">
        <f t="shared" si="6"/>
        <v>#VALUE!</v>
      </c>
      <c r="H63" s="1364" t="e">
        <f t="shared" si="7"/>
        <v>#VALUE!</v>
      </c>
      <c r="I63" s="1364" t="e">
        <f t="shared" si="8"/>
        <v>#VALUE!</v>
      </c>
      <c r="J63" s="1364" t="e">
        <f t="shared" si="9"/>
        <v>#VALUE!</v>
      </c>
      <c r="K63" s="1364" t="e">
        <f t="shared" si="10"/>
        <v>#VALUE!</v>
      </c>
      <c r="L63" s="1364" t="e">
        <f t="shared" si="11"/>
        <v>#VALUE!</v>
      </c>
      <c r="M63" s="1364" t="e">
        <f t="shared" si="12"/>
        <v>#VALUE!</v>
      </c>
      <c r="N63" s="13" t="e">
        <f t="shared" si="21"/>
        <v>#VALUE!</v>
      </c>
      <c r="O63" s="13" t="e">
        <f t="shared" si="21"/>
        <v>#VALUE!</v>
      </c>
      <c r="P63" s="13" t="e">
        <f t="shared" si="21"/>
        <v>#VALUE!</v>
      </c>
      <c r="Q63" s="13" t="e">
        <f t="shared" si="21"/>
        <v>#VALUE!</v>
      </c>
      <c r="R63" s="13" t="e">
        <f t="shared" si="21"/>
        <v>#VALUE!</v>
      </c>
      <c r="S63" s="13" t="e">
        <f t="shared" si="21"/>
        <v>#VALUE!</v>
      </c>
      <c r="U63" s="13" t="str">
        <f t="shared" si="18"/>
        <v/>
      </c>
      <c r="V63" s="13" t="str">
        <f t="shared" si="19"/>
        <v/>
      </c>
      <c r="W63" s="13" t="e">
        <f t="shared" si="15"/>
        <v>#VALUE!</v>
      </c>
    </row>
    <row r="64" spans="1:23" x14ac:dyDescent="0.25">
      <c r="A64" s="1363">
        <v>0.6</v>
      </c>
      <c r="B64" s="13">
        <f t="shared" si="3"/>
        <v>0</v>
      </c>
      <c r="C64" s="1364">
        <f t="shared" si="17"/>
        <v>0</v>
      </c>
      <c r="D64" s="1431" t="e">
        <f>B64*'Рейтинг МКД'!$D$11+'кривые-экспресс'!C64+IF('Рейтинг МКД'!$D$15="нет",7,10)</f>
        <v>#VALUE!</v>
      </c>
      <c r="E64" s="1431" t="e">
        <f t="shared" si="4"/>
        <v>#VALUE!</v>
      </c>
      <c r="F64" s="1364" t="e">
        <f t="shared" si="5"/>
        <v>#VALUE!</v>
      </c>
      <c r="G64" s="1364" t="e">
        <f t="shared" si="6"/>
        <v>#VALUE!</v>
      </c>
      <c r="H64" s="1364" t="e">
        <f t="shared" si="7"/>
        <v>#VALUE!</v>
      </c>
      <c r="I64" s="1364" t="e">
        <f t="shared" si="8"/>
        <v>#VALUE!</v>
      </c>
      <c r="J64" s="1364" t="e">
        <f t="shared" si="9"/>
        <v>#VALUE!</v>
      </c>
      <c r="K64" s="1364" t="e">
        <f t="shared" si="10"/>
        <v>#VALUE!</v>
      </c>
      <c r="L64" s="1364" t="e">
        <f t="shared" si="11"/>
        <v>#VALUE!</v>
      </c>
      <c r="M64" s="1364" t="e">
        <f t="shared" si="12"/>
        <v>#VALUE!</v>
      </c>
      <c r="N64" s="13" t="e">
        <f t="shared" si="21"/>
        <v>#VALUE!</v>
      </c>
      <c r="O64" s="13" t="e">
        <f t="shared" si="21"/>
        <v>#VALUE!</v>
      </c>
      <c r="P64" s="13" t="e">
        <f t="shared" si="21"/>
        <v>#VALUE!</v>
      </c>
      <c r="Q64" s="13" t="e">
        <f t="shared" si="21"/>
        <v>#VALUE!</v>
      </c>
      <c r="R64" s="13" t="e">
        <f t="shared" si="21"/>
        <v>#VALUE!</v>
      </c>
      <c r="S64" s="13" t="e">
        <f t="shared" si="21"/>
        <v>#VALUE!</v>
      </c>
      <c r="U64" s="13" t="str">
        <f t="shared" si="18"/>
        <v/>
      </c>
      <c r="V64" s="13" t="str">
        <f t="shared" si="19"/>
        <v/>
      </c>
      <c r="W64" s="13" t="e">
        <f t="shared" si="15"/>
        <v>#VALUE!</v>
      </c>
    </row>
    <row r="65" spans="1:23" x14ac:dyDescent="0.25">
      <c r="A65" s="1363">
        <v>0.61</v>
      </c>
      <c r="B65" s="13">
        <f t="shared" si="3"/>
        <v>0</v>
      </c>
      <c r="C65" s="1364">
        <f t="shared" si="17"/>
        <v>0</v>
      </c>
      <c r="D65" s="1431" t="e">
        <f>B65*'Рейтинг МКД'!$D$11+'кривые-экспресс'!C65+IF('Рейтинг МКД'!$D$15="нет",7,10)</f>
        <v>#VALUE!</v>
      </c>
      <c r="E65" s="1431" t="e">
        <f t="shared" si="4"/>
        <v>#VALUE!</v>
      </c>
      <c r="F65" s="1364" t="e">
        <f t="shared" si="5"/>
        <v>#VALUE!</v>
      </c>
      <c r="G65" s="1364" t="e">
        <f t="shared" si="6"/>
        <v>#VALUE!</v>
      </c>
      <c r="H65" s="1364" t="e">
        <f t="shared" si="7"/>
        <v>#VALUE!</v>
      </c>
      <c r="I65" s="1364" t="e">
        <f t="shared" si="8"/>
        <v>#VALUE!</v>
      </c>
      <c r="J65" s="1364" t="e">
        <f t="shared" si="9"/>
        <v>#VALUE!</v>
      </c>
      <c r="K65" s="1364" t="e">
        <f t="shared" si="10"/>
        <v>#VALUE!</v>
      </c>
      <c r="L65" s="1364" t="e">
        <f t="shared" si="11"/>
        <v>#VALUE!</v>
      </c>
      <c r="M65" s="1364" t="e">
        <f t="shared" si="12"/>
        <v>#VALUE!</v>
      </c>
      <c r="N65" s="13" t="e">
        <f t="shared" si="21"/>
        <v>#VALUE!</v>
      </c>
      <c r="O65" s="13" t="e">
        <f t="shared" si="21"/>
        <v>#VALUE!</v>
      </c>
      <c r="P65" s="13" t="e">
        <f t="shared" si="21"/>
        <v>#VALUE!</v>
      </c>
      <c r="Q65" s="13" t="e">
        <f t="shared" si="21"/>
        <v>#VALUE!</v>
      </c>
      <c r="R65" s="13" t="e">
        <f t="shared" si="21"/>
        <v>#VALUE!</v>
      </c>
      <c r="S65" s="13" t="e">
        <f t="shared" si="21"/>
        <v>#VALUE!</v>
      </c>
      <c r="U65" s="13" t="str">
        <f t="shared" si="18"/>
        <v/>
      </c>
      <c r="V65" s="13" t="str">
        <f t="shared" si="19"/>
        <v/>
      </c>
      <c r="W65" s="13" t="e">
        <f t="shared" si="15"/>
        <v>#VALUE!</v>
      </c>
    </row>
    <row r="66" spans="1:23" x14ac:dyDescent="0.25">
      <c r="A66" s="1363">
        <v>0.62</v>
      </c>
      <c r="B66" s="13">
        <f t="shared" si="3"/>
        <v>0</v>
      </c>
      <c r="C66" s="1364">
        <f t="shared" si="17"/>
        <v>0</v>
      </c>
      <c r="D66" s="1431" t="e">
        <f>B66*'Рейтинг МКД'!$D$11+'кривые-экспресс'!C66+IF('Рейтинг МКД'!$D$15="нет",7,10)</f>
        <v>#VALUE!</v>
      </c>
      <c r="E66" s="1431" t="e">
        <f t="shared" si="4"/>
        <v>#VALUE!</v>
      </c>
      <c r="F66" s="1364" t="e">
        <f t="shared" si="5"/>
        <v>#VALUE!</v>
      </c>
      <c r="G66" s="1364" t="e">
        <f t="shared" si="6"/>
        <v>#VALUE!</v>
      </c>
      <c r="H66" s="1364" t="e">
        <f t="shared" si="7"/>
        <v>#VALUE!</v>
      </c>
      <c r="I66" s="1364" t="e">
        <f t="shared" si="8"/>
        <v>#VALUE!</v>
      </c>
      <c r="J66" s="1364" t="e">
        <f t="shared" si="9"/>
        <v>#VALUE!</v>
      </c>
      <c r="K66" s="1364" t="e">
        <f t="shared" si="10"/>
        <v>#VALUE!</v>
      </c>
      <c r="L66" s="1364" t="e">
        <f t="shared" si="11"/>
        <v>#VALUE!</v>
      </c>
      <c r="M66" s="1364" t="e">
        <f t="shared" si="12"/>
        <v>#VALUE!</v>
      </c>
      <c r="N66" s="13" t="e">
        <f t="shared" si="21"/>
        <v>#VALUE!</v>
      </c>
      <c r="O66" s="13" t="e">
        <f t="shared" si="21"/>
        <v>#VALUE!</v>
      </c>
      <c r="P66" s="13" t="e">
        <f t="shared" si="21"/>
        <v>#VALUE!</v>
      </c>
      <c r="Q66" s="13" t="e">
        <f t="shared" si="21"/>
        <v>#VALUE!</v>
      </c>
      <c r="R66" s="13" t="e">
        <f t="shared" si="21"/>
        <v>#VALUE!</v>
      </c>
      <c r="S66" s="13" t="e">
        <f t="shared" si="21"/>
        <v>#VALUE!</v>
      </c>
      <c r="U66" s="13" t="str">
        <f t="shared" si="18"/>
        <v/>
      </c>
      <c r="V66" s="13" t="str">
        <f t="shared" si="19"/>
        <v/>
      </c>
      <c r="W66" s="13" t="e">
        <f t="shared" si="15"/>
        <v>#VALUE!</v>
      </c>
    </row>
    <row r="67" spans="1:23" x14ac:dyDescent="0.25">
      <c r="A67" s="1363">
        <v>0.63</v>
      </c>
      <c r="B67" s="13">
        <f t="shared" si="3"/>
        <v>0</v>
      </c>
      <c r="C67" s="1364">
        <f t="shared" si="17"/>
        <v>0</v>
      </c>
      <c r="D67" s="1431" t="e">
        <f>B67*'Рейтинг МКД'!$D$11+'кривые-экспресс'!C67+IF('Рейтинг МКД'!$D$15="нет",7,10)</f>
        <v>#VALUE!</v>
      </c>
      <c r="E67" s="1431" t="e">
        <f t="shared" si="4"/>
        <v>#VALUE!</v>
      </c>
      <c r="F67" s="1364" t="e">
        <f t="shared" si="5"/>
        <v>#VALUE!</v>
      </c>
      <c r="G67" s="1364" t="e">
        <f t="shared" si="6"/>
        <v>#VALUE!</v>
      </c>
      <c r="H67" s="1364" t="e">
        <f t="shared" si="7"/>
        <v>#VALUE!</v>
      </c>
      <c r="I67" s="1364" t="e">
        <f t="shared" si="8"/>
        <v>#VALUE!</v>
      </c>
      <c r="J67" s="1364" t="e">
        <f t="shared" si="9"/>
        <v>#VALUE!</v>
      </c>
      <c r="K67" s="1364" t="e">
        <f t="shared" si="10"/>
        <v>#VALUE!</v>
      </c>
      <c r="L67" s="1364" t="e">
        <f t="shared" si="11"/>
        <v>#VALUE!</v>
      </c>
      <c r="M67" s="1364" t="e">
        <f t="shared" si="12"/>
        <v>#VALUE!</v>
      </c>
      <c r="N67" s="13" t="e">
        <f t="shared" si="21"/>
        <v>#VALUE!</v>
      </c>
      <c r="O67" s="13" t="e">
        <f t="shared" si="21"/>
        <v>#VALUE!</v>
      </c>
      <c r="P67" s="13" t="e">
        <f t="shared" si="21"/>
        <v>#VALUE!</v>
      </c>
      <c r="Q67" s="13" t="e">
        <f t="shared" si="21"/>
        <v>#VALUE!</v>
      </c>
      <c r="R67" s="13" t="e">
        <f t="shared" si="21"/>
        <v>#VALUE!</v>
      </c>
      <c r="S67" s="13" t="e">
        <f t="shared" si="21"/>
        <v>#VALUE!</v>
      </c>
      <c r="U67" s="13" t="str">
        <f t="shared" si="18"/>
        <v/>
      </c>
      <c r="V67" s="13" t="str">
        <f t="shared" si="19"/>
        <v/>
      </c>
      <c r="W67" s="13" t="e">
        <f t="shared" si="15"/>
        <v>#VALUE!</v>
      </c>
    </row>
    <row r="68" spans="1:23" x14ac:dyDescent="0.25">
      <c r="A68" s="1363">
        <v>0.64</v>
      </c>
      <c r="B68" s="13">
        <f t="shared" si="3"/>
        <v>0</v>
      </c>
      <c r="C68" s="1364">
        <f t="shared" si="17"/>
        <v>0</v>
      </c>
      <c r="D68" s="1431" t="e">
        <f>B68*'Рейтинг МКД'!$D$11+'кривые-экспресс'!C68+IF('Рейтинг МКД'!$D$15="нет",7,10)</f>
        <v>#VALUE!</v>
      </c>
      <c r="E68" s="1431" t="e">
        <f t="shared" si="4"/>
        <v>#VALUE!</v>
      </c>
      <c r="F68" s="1364" t="e">
        <f t="shared" si="5"/>
        <v>#VALUE!</v>
      </c>
      <c r="G68" s="1364" t="e">
        <f t="shared" si="6"/>
        <v>#VALUE!</v>
      </c>
      <c r="H68" s="1364" t="e">
        <f t="shared" si="7"/>
        <v>#VALUE!</v>
      </c>
      <c r="I68" s="1364" t="e">
        <f t="shared" si="8"/>
        <v>#VALUE!</v>
      </c>
      <c r="J68" s="1364" t="e">
        <f t="shared" si="9"/>
        <v>#VALUE!</v>
      </c>
      <c r="K68" s="1364" t="e">
        <f t="shared" si="10"/>
        <v>#VALUE!</v>
      </c>
      <c r="L68" s="1364" t="e">
        <f t="shared" si="11"/>
        <v>#VALUE!</v>
      </c>
      <c r="M68" s="1364" t="e">
        <f t="shared" si="12"/>
        <v>#VALUE!</v>
      </c>
      <c r="N68" s="13" t="e">
        <f t="shared" si="21"/>
        <v>#VALUE!</v>
      </c>
      <c r="O68" s="13" t="e">
        <f t="shared" si="21"/>
        <v>#VALUE!</v>
      </c>
      <c r="P68" s="13" t="e">
        <f t="shared" si="21"/>
        <v>#VALUE!</v>
      </c>
      <c r="Q68" s="13" t="e">
        <f t="shared" si="21"/>
        <v>#VALUE!</v>
      </c>
      <c r="R68" s="13" t="e">
        <f t="shared" si="21"/>
        <v>#VALUE!</v>
      </c>
      <c r="S68" s="13" t="e">
        <f t="shared" si="21"/>
        <v>#VALUE!</v>
      </c>
      <c r="U68" s="13" t="str">
        <f t="shared" si="18"/>
        <v/>
      </c>
      <c r="V68" s="13" t="str">
        <f t="shared" si="19"/>
        <v/>
      </c>
      <c r="W68" s="13" t="e">
        <f t="shared" si="15"/>
        <v>#VALUE!</v>
      </c>
    </row>
    <row r="69" spans="1:23" x14ac:dyDescent="0.25">
      <c r="A69" s="1363">
        <v>0.65</v>
      </c>
      <c r="B69" s="13">
        <f t="shared" si="3"/>
        <v>0</v>
      </c>
      <c r="C69" s="1364">
        <f t="shared" ref="C69:C100" si="22">$B$106*B277+$C$106*C277+$D$106*D277+$E$106*E277+$F$106*F277+$G$106*G277+$H$106*H277+$I$106*I277+$J$106*J277+$K$106*K277+$L$106*L277+$M$106*M277</f>
        <v>0</v>
      </c>
      <c r="D69" s="1431" t="e">
        <f>B69*'Рейтинг МКД'!$D$11+'кривые-экспресс'!C69+IF('Рейтинг МКД'!$D$15="нет",7,10)</f>
        <v>#VALUE!</v>
      </c>
      <c r="E69" s="1431" t="e">
        <f t="shared" si="4"/>
        <v>#VALUE!</v>
      </c>
      <c r="F69" s="1364" t="e">
        <f t="shared" si="5"/>
        <v>#VALUE!</v>
      </c>
      <c r="G69" s="1364" t="e">
        <f t="shared" si="6"/>
        <v>#VALUE!</v>
      </c>
      <c r="H69" s="1364" t="e">
        <f t="shared" si="7"/>
        <v>#VALUE!</v>
      </c>
      <c r="I69" s="1364" t="e">
        <f t="shared" si="8"/>
        <v>#VALUE!</v>
      </c>
      <c r="J69" s="1364" t="e">
        <f t="shared" si="9"/>
        <v>#VALUE!</v>
      </c>
      <c r="K69" s="1364" t="e">
        <f t="shared" si="10"/>
        <v>#VALUE!</v>
      </c>
      <c r="L69" s="1364" t="e">
        <f t="shared" si="11"/>
        <v>#VALUE!</v>
      </c>
      <c r="M69" s="1364" t="e">
        <f t="shared" si="12"/>
        <v>#VALUE!</v>
      </c>
      <c r="N69" s="13" t="e">
        <f t="shared" si="21"/>
        <v>#VALUE!</v>
      </c>
      <c r="O69" s="13" t="e">
        <f t="shared" si="21"/>
        <v>#VALUE!</v>
      </c>
      <c r="P69" s="13" t="e">
        <f t="shared" si="21"/>
        <v>#VALUE!</v>
      </c>
      <c r="Q69" s="13" t="e">
        <f t="shared" si="21"/>
        <v>#VALUE!</v>
      </c>
      <c r="R69" s="13" t="e">
        <f t="shared" si="21"/>
        <v>#VALUE!</v>
      </c>
      <c r="S69" s="13" t="e">
        <f t="shared" si="21"/>
        <v>#VALUE!</v>
      </c>
      <c r="U69" s="13" t="str">
        <f t="shared" ref="U69:U103" si="23">IF(AND($U$3&gt;=B69,$U$3&lt;B70),$U$3,"")</f>
        <v/>
      </c>
      <c r="V69" s="13" t="str">
        <f t="shared" ref="V69:V103" si="24">IF(AND($V$3&gt;=C69,$V$3&lt;C70),$V$3,"")</f>
        <v/>
      </c>
      <c r="W69" s="13" t="e">
        <f t="shared" si="15"/>
        <v>#VALUE!</v>
      </c>
    </row>
    <row r="70" spans="1:23" x14ac:dyDescent="0.25">
      <c r="A70" s="1363">
        <v>0.66</v>
      </c>
      <c r="B70" s="13">
        <f t="shared" ref="B70:B104" si="25">$B$106*B173+$C$106*C173+$D$106*D173+$E$106*E173+$F$106*F173+$G$106*G173+$H$106*H173+$I$106*I173+$J$106*J173+$K$106*K173+$L$106*L173+$M$106*M173</f>
        <v>0</v>
      </c>
      <c r="C70" s="1364">
        <f t="shared" si="22"/>
        <v>0</v>
      </c>
      <c r="D70" s="1431" t="e">
        <f>B70*'Рейтинг МКД'!$D$11+'кривые-экспресс'!C70+IF('Рейтинг МКД'!$D$15="нет",7,10)</f>
        <v>#VALUE!</v>
      </c>
      <c r="E70" s="1431" t="e">
        <f t="shared" ref="E70:E104" si="26">IF(D70&lt;=$N$423,D70,"")</f>
        <v>#VALUE!</v>
      </c>
      <c r="F70" s="1364" t="e">
        <f t="shared" ref="F70:F104" si="27">IF(AND($D70&lt;=$N$424,$D70&gt;$N$423),$D70,"")</f>
        <v>#VALUE!</v>
      </c>
      <c r="G70" s="1364" t="e">
        <f t="shared" ref="G70:G104" si="28">IF(AND($D70&lt;=$N$425,$D70&gt;$N$424),$D70,"")</f>
        <v>#VALUE!</v>
      </c>
      <c r="H70" s="1364" t="e">
        <f t="shared" ref="H70:H104" si="29">IF(AND($D70&lt;=$N$426,$D70&gt;$N$425),$D70,"")</f>
        <v>#VALUE!</v>
      </c>
      <c r="I70" s="1364" t="e">
        <f t="shared" ref="I70:I104" si="30">IF(AND($D70&lt;=$N$427,$D70&gt;$N$426),$D70,"")</f>
        <v>#VALUE!</v>
      </c>
      <c r="J70" s="1364" t="e">
        <f t="shared" ref="J70:J104" si="31">IF(AND($D70&lt;=$N$428,$D70&gt;$N$427),$D70,"")</f>
        <v>#VALUE!</v>
      </c>
      <c r="K70" s="1364" t="e">
        <f t="shared" ref="K70:K104" si="32">IF(AND($D70&lt;=$N$429,$D70&gt;$N$428),$D70,"")</f>
        <v>#VALUE!</v>
      </c>
      <c r="L70" s="1364" t="e">
        <f t="shared" ref="L70:L104" si="33">IF(AND($D70&lt;=$N$430,$D70&gt;$N$429),$D70,"")</f>
        <v>#VALUE!</v>
      </c>
      <c r="M70" s="1364" t="e">
        <f t="shared" ref="M70:M104" si="34">IF(AND($D70&gt;$N$430),$D70,"")</f>
        <v>#VALUE!</v>
      </c>
      <c r="N70" s="13" t="e">
        <f t="shared" si="21"/>
        <v>#VALUE!</v>
      </c>
      <c r="O70" s="13" t="e">
        <f t="shared" si="21"/>
        <v>#VALUE!</v>
      </c>
      <c r="P70" s="13" t="e">
        <f t="shared" si="21"/>
        <v>#VALUE!</v>
      </c>
      <c r="Q70" s="13" t="e">
        <f t="shared" si="21"/>
        <v>#VALUE!</v>
      </c>
      <c r="R70" s="13" t="e">
        <f t="shared" si="21"/>
        <v>#VALUE!</v>
      </c>
      <c r="S70" s="13" t="e">
        <f t="shared" si="21"/>
        <v>#VALUE!</v>
      </c>
      <c r="U70" s="13" t="str">
        <f t="shared" si="23"/>
        <v/>
      </c>
      <c r="V70" s="13" t="str">
        <f t="shared" si="24"/>
        <v/>
      </c>
      <c r="W70" s="13" t="e">
        <f t="shared" si="15"/>
        <v>#VALUE!</v>
      </c>
    </row>
    <row r="71" spans="1:23" x14ac:dyDescent="0.25">
      <c r="A71" s="1363">
        <v>0.67</v>
      </c>
      <c r="B71" s="13">
        <f t="shared" si="25"/>
        <v>0</v>
      </c>
      <c r="C71" s="1364">
        <f t="shared" si="22"/>
        <v>0</v>
      </c>
      <c r="D71" s="1431" t="e">
        <f>B71*'Рейтинг МКД'!$D$11+'кривые-экспресс'!C71+IF('Рейтинг МКД'!$D$15="нет",7,10)</f>
        <v>#VALUE!</v>
      </c>
      <c r="E71" s="1431" t="e">
        <f t="shared" si="26"/>
        <v>#VALUE!</v>
      </c>
      <c r="F71" s="1364" t="e">
        <f t="shared" si="27"/>
        <v>#VALUE!</v>
      </c>
      <c r="G71" s="1364" t="e">
        <f t="shared" si="28"/>
        <v>#VALUE!</v>
      </c>
      <c r="H71" s="1364" t="e">
        <f t="shared" si="29"/>
        <v>#VALUE!</v>
      </c>
      <c r="I71" s="1364" t="e">
        <f t="shared" si="30"/>
        <v>#VALUE!</v>
      </c>
      <c r="J71" s="1364" t="e">
        <f t="shared" si="31"/>
        <v>#VALUE!</v>
      </c>
      <c r="K71" s="1364" t="e">
        <f t="shared" si="32"/>
        <v>#VALUE!</v>
      </c>
      <c r="L71" s="1364" t="e">
        <f t="shared" si="33"/>
        <v>#VALUE!</v>
      </c>
      <c r="M71" s="1364" t="e">
        <f t="shared" si="34"/>
        <v>#VALUE!</v>
      </c>
      <c r="N71" s="13" t="e">
        <f t="shared" ref="N71:S86" si="35">N70</f>
        <v>#VALUE!</v>
      </c>
      <c r="O71" s="13" t="e">
        <f t="shared" si="35"/>
        <v>#VALUE!</v>
      </c>
      <c r="P71" s="13" t="e">
        <f t="shared" si="35"/>
        <v>#VALUE!</v>
      </c>
      <c r="Q71" s="13" t="e">
        <f t="shared" si="35"/>
        <v>#VALUE!</v>
      </c>
      <c r="R71" s="13" t="e">
        <f t="shared" si="35"/>
        <v>#VALUE!</v>
      </c>
      <c r="S71" s="13" t="e">
        <f t="shared" si="35"/>
        <v>#VALUE!</v>
      </c>
      <c r="U71" s="13" t="str">
        <f t="shared" si="23"/>
        <v/>
      </c>
      <c r="V71" s="13" t="str">
        <f t="shared" si="24"/>
        <v/>
      </c>
      <c r="W71" s="13" t="e">
        <f t="shared" ref="W71:W103" si="36">IF(AND($W$3&gt;=SUM(E71:M71),$W$3&lt;SUM(E72:M72)),$W$3,"")</f>
        <v>#VALUE!</v>
      </c>
    </row>
    <row r="72" spans="1:23" x14ac:dyDescent="0.25">
      <c r="A72" s="1363">
        <v>0.68</v>
      </c>
      <c r="B72" s="13">
        <f t="shared" si="25"/>
        <v>0</v>
      </c>
      <c r="C72" s="1364">
        <f t="shared" si="22"/>
        <v>0</v>
      </c>
      <c r="D72" s="1431" t="e">
        <f>B72*'Рейтинг МКД'!$D$11+'кривые-экспресс'!C72+IF('Рейтинг МКД'!$D$15="нет",7,10)</f>
        <v>#VALUE!</v>
      </c>
      <c r="E72" s="1431" t="e">
        <f t="shared" si="26"/>
        <v>#VALUE!</v>
      </c>
      <c r="F72" s="1364" t="e">
        <f t="shared" si="27"/>
        <v>#VALUE!</v>
      </c>
      <c r="G72" s="1364" t="e">
        <f t="shared" si="28"/>
        <v>#VALUE!</v>
      </c>
      <c r="H72" s="1364" t="e">
        <f t="shared" si="29"/>
        <v>#VALUE!</v>
      </c>
      <c r="I72" s="1364" t="e">
        <f t="shared" si="30"/>
        <v>#VALUE!</v>
      </c>
      <c r="J72" s="1364" t="e">
        <f t="shared" si="31"/>
        <v>#VALUE!</v>
      </c>
      <c r="K72" s="1364" t="e">
        <f t="shared" si="32"/>
        <v>#VALUE!</v>
      </c>
      <c r="L72" s="1364" t="e">
        <f t="shared" si="33"/>
        <v>#VALUE!</v>
      </c>
      <c r="M72" s="1364" t="e">
        <f t="shared" si="34"/>
        <v>#VALUE!</v>
      </c>
      <c r="N72" s="13" t="e">
        <f t="shared" si="35"/>
        <v>#VALUE!</v>
      </c>
      <c r="O72" s="13" t="e">
        <f t="shared" si="35"/>
        <v>#VALUE!</v>
      </c>
      <c r="P72" s="13" t="e">
        <f t="shared" si="35"/>
        <v>#VALUE!</v>
      </c>
      <c r="Q72" s="13" t="e">
        <f t="shared" si="35"/>
        <v>#VALUE!</v>
      </c>
      <c r="R72" s="13" t="e">
        <f t="shared" si="35"/>
        <v>#VALUE!</v>
      </c>
      <c r="S72" s="13" t="e">
        <f t="shared" si="35"/>
        <v>#VALUE!</v>
      </c>
      <c r="U72" s="13" t="str">
        <f t="shared" si="23"/>
        <v/>
      </c>
      <c r="V72" s="13" t="str">
        <f t="shared" si="24"/>
        <v/>
      </c>
      <c r="W72" s="13" t="e">
        <f t="shared" si="36"/>
        <v>#VALUE!</v>
      </c>
    </row>
    <row r="73" spans="1:23" x14ac:dyDescent="0.25">
      <c r="A73" s="1363">
        <v>0.69</v>
      </c>
      <c r="B73" s="13">
        <f t="shared" si="25"/>
        <v>0</v>
      </c>
      <c r="C73" s="1364">
        <f t="shared" si="22"/>
        <v>0</v>
      </c>
      <c r="D73" s="1431" t="e">
        <f>B73*'Рейтинг МКД'!$D$11+'кривые-экспресс'!C73+IF('Рейтинг МКД'!$D$15="нет",7,10)</f>
        <v>#VALUE!</v>
      </c>
      <c r="E73" s="1431" t="e">
        <f t="shared" si="26"/>
        <v>#VALUE!</v>
      </c>
      <c r="F73" s="1364" t="e">
        <f t="shared" si="27"/>
        <v>#VALUE!</v>
      </c>
      <c r="G73" s="1364" t="e">
        <f t="shared" si="28"/>
        <v>#VALUE!</v>
      </c>
      <c r="H73" s="1364" t="e">
        <f t="shared" si="29"/>
        <v>#VALUE!</v>
      </c>
      <c r="I73" s="1364" t="e">
        <f t="shared" si="30"/>
        <v>#VALUE!</v>
      </c>
      <c r="J73" s="1364" t="e">
        <f t="shared" si="31"/>
        <v>#VALUE!</v>
      </c>
      <c r="K73" s="1364" t="e">
        <f t="shared" si="32"/>
        <v>#VALUE!</v>
      </c>
      <c r="L73" s="1364" t="e">
        <f t="shared" si="33"/>
        <v>#VALUE!</v>
      </c>
      <c r="M73" s="1364" t="e">
        <f t="shared" si="34"/>
        <v>#VALUE!</v>
      </c>
      <c r="N73" s="13" t="e">
        <f t="shared" si="35"/>
        <v>#VALUE!</v>
      </c>
      <c r="O73" s="13" t="e">
        <f t="shared" si="35"/>
        <v>#VALUE!</v>
      </c>
      <c r="P73" s="13" t="e">
        <f t="shared" si="35"/>
        <v>#VALUE!</v>
      </c>
      <c r="Q73" s="13" t="e">
        <f t="shared" si="35"/>
        <v>#VALUE!</v>
      </c>
      <c r="R73" s="13" t="e">
        <f t="shared" si="35"/>
        <v>#VALUE!</v>
      </c>
      <c r="S73" s="13" t="e">
        <f t="shared" si="35"/>
        <v>#VALUE!</v>
      </c>
      <c r="U73" s="13" t="str">
        <f t="shared" si="23"/>
        <v/>
      </c>
      <c r="V73" s="13" t="str">
        <f t="shared" si="24"/>
        <v/>
      </c>
      <c r="W73" s="13" t="e">
        <f t="shared" si="36"/>
        <v>#VALUE!</v>
      </c>
    </row>
    <row r="74" spans="1:23" x14ac:dyDescent="0.25">
      <c r="A74" s="1363">
        <v>0.7</v>
      </c>
      <c r="B74" s="13">
        <f t="shared" si="25"/>
        <v>0</v>
      </c>
      <c r="C74" s="1364">
        <f t="shared" si="22"/>
        <v>0</v>
      </c>
      <c r="D74" s="1431" t="e">
        <f>B74*'Рейтинг МКД'!$D$11+'кривые-экспресс'!C74+IF('Рейтинг МКД'!$D$15="нет",7,10)</f>
        <v>#VALUE!</v>
      </c>
      <c r="E74" s="1431" t="e">
        <f t="shared" si="26"/>
        <v>#VALUE!</v>
      </c>
      <c r="F74" s="1364" t="e">
        <f t="shared" si="27"/>
        <v>#VALUE!</v>
      </c>
      <c r="G74" s="1364" t="e">
        <f t="shared" si="28"/>
        <v>#VALUE!</v>
      </c>
      <c r="H74" s="1364" t="e">
        <f t="shared" si="29"/>
        <v>#VALUE!</v>
      </c>
      <c r="I74" s="1364" t="e">
        <f t="shared" si="30"/>
        <v>#VALUE!</v>
      </c>
      <c r="J74" s="1364" t="e">
        <f t="shared" si="31"/>
        <v>#VALUE!</v>
      </c>
      <c r="K74" s="1364" t="e">
        <f t="shared" si="32"/>
        <v>#VALUE!</v>
      </c>
      <c r="L74" s="1364" t="e">
        <f t="shared" si="33"/>
        <v>#VALUE!</v>
      </c>
      <c r="M74" s="1364" t="e">
        <f t="shared" si="34"/>
        <v>#VALUE!</v>
      </c>
      <c r="N74" s="13" t="e">
        <f t="shared" si="35"/>
        <v>#VALUE!</v>
      </c>
      <c r="O74" s="13" t="e">
        <f t="shared" si="35"/>
        <v>#VALUE!</v>
      </c>
      <c r="P74" s="13" t="e">
        <f t="shared" si="35"/>
        <v>#VALUE!</v>
      </c>
      <c r="Q74" s="13" t="e">
        <f t="shared" si="35"/>
        <v>#VALUE!</v>
      </c>
      <c r="R74" s="13" t="e">
        <f t="shared" si="35"/>
        <v>#VALUE!</v>
      </c>
      <c r="S74" s="13" t="e">
        <f t="shared" si="35"/>
        <v>#VALUE!</v>
      </c>
      <c r="U74" s="13" t="str">
        <f t="shared" si="23"/>
        <v/>
      </c>
      <c r="V74" s="13" t="str">
        <f t="shared" si="24"/>
        <v/>
      </c>
      <c r="W74" s="13" t="e">
        <f t="shared" si="36"/>
        <v>#VALUE!</v>
      </c>
    </row>
    <row r="75" spans="1:23" x14ac:dyDescent="0.25">
      <c r="A75" s="1363">
        <v>0.71</v>
      </c>
      <c r="B75" s="13">
        <f t="shared" si="25"/>
        <v>0</v>
      </c>
      <c r="C75" s="1364">
        <f t="shared" si="22"/>
        <v>0</v>
      </c>
      <c r="D75" s="1431" t="e">
        <f>B75*'Рейтинг МКД'!$D$11+'кривые-экспресс'!C75+IF('Рейтинг МКД'!$D$15="нет",7,10)</f>
        <v>#VALUE!</v>
      </c>
      <c r="E75" s="1431" t="e">
        <f t="shared" si="26"/>
        <v>#VALUE!</v>
      </c>
      <c r="F75" s="1364" t="e">
        <f t="shared" si="27"/>
        <v>#VALUE!</v>
      </c>
      <c r="G75" s="1364" t="e">
        <f t="shared" si="28"/>
        <v>#VALUE!</v>
      </c>
      <c r="H75" s="1364" t="e">
        <f t="shared" si="29"/>
        <v>#VALUE!</v>
      </c>
      <c r="I75" s="1364" t="e">
        <f t="shared" si="30"/>
        <v>#VALUE!</v>
      </c>
      <c r="J75" s="1364" t="e">
        <f t="shared" si="31"/>
        <v>#VALUE!</v>
      </c>
      <c r="K75" s="1364" t="e">
        <f t="shared" si="32"/>
        <v>#VALUE!</v>
      </c>
      <c r="L75" s="1364" t="e">
        <f t="shared" si="33"/>
        <v>#VALUE!</v>
      </c>
      <c r="M75" s="1364" t="e">
        <f t="shared" si="34"/>
        <v>#VALUE!</v>
      </c>
      <c r="N75" s="13" t="e">
        <f t="shared" si="35"/>
        <v>#VALUE!</v>
      </c>
      <c r="O75" s="13" t="e">
        <f t="shared" si="35"/>
        <v>#VALUE!</v>
      </c>
      <c r="P75" s="13" t="e">
        <f t="shared" si="35"/>
        <v>#VALUE!</v>
      </c>
      <c r="Q75" s="13" t="e">
        <f t="shared" si="35"/>
        <v>#VALUE!</v>
      </c>
      <c r="R75" s="13" t="e">
        <f t="shared" si="35"/>
        <v>#VALUE!</v>
      </c>
      <c r="S75" s="13" t="e">
        <f t="shared" si="35"/>
        <v>#VALUE!</v>
      </c>
      <c r="U75" s="13" t="str">
        <f t="shared" si="23"/>
        <v/>
      </c>
      <c r="V75" s="13" t="str">
        <f t="shared" si="24"/>
        <v/>
      </c>
      <c r="W75" s="13" t="e">
        <f t="shared" si="36"/>
        <v>#VALUE!</v>
      </c>
    </row>
    <row r="76" spans="1:23" x14ac:dyDescent="0.25">
      <c r="A76" s="1363">
        <v>0.72</v>
      </c>
      <c r="B76" s="13">
        <f t="shared" si="25"/>
        <v>0</v>
      </c>
      <c r="C76" s="1364">
        <f t="shared" si="22"/>
        <v>0</v>
      </c>
      <c r="D76" s="1431" t="e">
        <f>B76*'Рейтинг МКД'!$D$11+'кривые-экспресс'!C76+IF('Рейтинг МКД'!$D$15="нет",7,10)</f>
        <v>#VALUE!</v>
      </c>
      <c r="E76" s="1431" t="e">
        <f t="shared" si="26"/>
        <v>#VALUE!</v>
      </c>
      <c r="F76" s="1364" t="e">
        <f t="shared" si="27"/>
        <v>#VALUE!</v>
      </c>
      <c r="G76" s="1364" t="e">
        <f t="shared" si="28"/>
        <v>#VALUE!</v>
      </c>
      <c r="H76" s="1364" t="e">
        <f t="shared" si="29"/>
        <v>#VALUE!</v>
      </c>
      <c r="I76" s="1364" t="e">
        <f t="shared" si="30"/>
        <v>#VALUE!</v>
      </c>
      <c r="J76" s="1364" t="e">
        <f t="shared" si="31"/>
        <v>#VALUE!</v>
      </c>
      <c r="K76" s="1364" t="e">
        <f t="shared" si="32"/>
        <v>#VALUE!</v>
      </c>
      <c r="L76" s="1364" t="e">
        <f t="shared" si="33"/>
        <v>#VALUE!</v>
      </c>
      <c r="M76" s="1364" t="e">
        <f t="shared" si="34"/>
        <v>#VALUE!</v>
      </c>
      <c r="N76" s="13" t="e">
        <f t="shared" si="35"/>
        <v>#VALUE!</v>
      </c>
      <c r="O76" s="13" t="e">
        <f t="shared" si="35"/>
        <v>#VALUE!</v>
      </c>
      <c r="P76" s="13" t="e">
        <f t="shared" si="35"/>
        <v>#VALUE!</v>
      </c>
      <c r="Q76" s="13" t="e">
        <f t="shared" si="35"/>
        <v>#VALUE!</v>
      </c>
      <c r="R76" s="13" t="e">
        <f t="shared" si="35"/>
        <v>#VALUE!</v>
      </c>
      <c r="S76" s="13" t="e">
        <f t="shared" si="35"/>
        <v>#VALUE!</v>
      </c>
      <c r="U76" s="13" t="str">
        <f t="shared" si="23"/>
        <v/>
      </c>
      <c r="V76" s="13" t="str">
        <f t="shared" si="24"/>
        <v/>
      </c>
      <c r="W76" s="13" t="e">
        <f t="shared" si="36"/>
        <v>#VALUE!</v>
      </c>
    </row>
    <row r="77" spans="1:23" x14ac:dyDescent="0.25">
      <c r="A77" s="1363">
        <v>0.73</v>
      </c>
      <c r="B77" s="13">
        <f t="shared" si="25"/>
        <v>0</v>
      </c>
      <c r="C77" s="1364">
        <f t="shared" si="22"/>
        <v>0</v>
      </c>
      <c r="D77" s="1431" t="e">
        <f>B77*'Рейтинг МКД'!$D$11+'кривые-экспресс'!C77+IF('Рейтинг МКД'!$D$15="нет",7,10)</f>
        <v>#VALUE!</v>
      </c>
      <c r="E77" s="1431" t="e">
        <f t="shared" si="26"/>
        <v>#VALUE!</v>
      </c>
      <c r="F77" s="1364" t="e">
        <f t="shared" si="27"/>
        <v>#VALUE!</v>
      </c>
      <c r="G77" s="1364" t="e">
        <f t="shared" si="28"/>
        <v>#VALUE!</v>
      </c>
      <c r="H77" s="1364" t="e">
        <f t="shared" si="29"/>
        <v>#VALUE!</v>
      </c>
      <c r="I77" s="1364" t="e">
        <f t="shared" si="30"/>
        <v>#VALUE!</v>
      </c>
      <c r="J77" s="1364" t="e">
        <f t="shared" si="31"/>
        <v>#VALUE!</v>
      </c>
      <c r="K77" s="1364" t="e">
        <f t="shared" si="32"/>
        <v>#VALUE!</v>
      </c>
      <c r="L77" s="1364" t="e">
        <f t="shared" si="33"/>
        <v>#VALUE!</v>
      </c>
      <c r="M77" s="1364" t="e">
        <f t="shared" si="34"/>
        <v>#VALUE!</v>
      </c>
      <c r="N77" s="13" t="e">
        <f t="shared" si="35"/>
        <v>#VALUE!</v>
      </c>
      <c r="O77" s="13" t="e">
        <f t="shared" si="35"/>
        <v>#VALUE!</v>
      </c>
      <c r="P77" s="13" t="e">
        <f t="shared" si="35"/>
        <v>#VALUE!</v>
      </c>
      <c r="Q77" s="13" t="e">
        <f t="shared" si="35"/>
        <v>#VALUE!</v>
      </c>
      <c r="R77" s="13" t="e">
        <f t="shared" si="35"/>
        <v>#VALUE!</v>
      </c>
      <c r="S77" s="13" t="e">
        <f t="shared" si="35"/>
        <v>#VALUE!</v>
      </c>
      <c r="U77" s="13" t="str">
        <f t="shared" si="23"/>
        <v/>
      </c>
      <c r="V77" s="13" t="str">
        <f t="shared" si="24"/>
        <v/>
      </c>
      <c r="W77" s="13" t="e">
        <f t="shared" si="36"/>
        <v>#VALUE!</v>
      </c>
    </row>
    <row r="78" spans="1:23" x14ac:dyDescent="0.25">
      <c r="A78" s="1363">
        <v>0.74</v>
      </c>
      <c r="B78" s="13">
        <f t="shared" si="25"/>
        <v>0</v>
      </c>
      <c r="C78" s="1364">
        <f t="shared" si="22"/>
        <v>0</v>
      </c>
      <c r="D78" s="1431" t="e">
        <f>B78*'Рейтинг МКД'!$D$11+'кривые-экспресс'!C78+IF('Рейтинг МКД'!$D$15="нет",7,10)</f>
        <v>#VALUE!</v>
      </c>
      <c r="E78" s="1431" t="e">
        <f t="shared" si="26"/>
        <v>#VALUE!</v>
      </c>
      <c r="F78" s="1364" t="e">
        <f t="shared" si="27"/>
        <v>#VALUE!</v>
      </c>
      <c r="G78" s="1364" t="e">
        <f t="shared" si="28"/>
        <v>#VALUE!</v>
      </c>
      <c r="H78" s="1364" t="e">
        <f t="shared" si="29"/>
        <v>#VALUE!</v>
      </c>
      <c r="I78" s="1364" t="e">
        <f t="shared" si="30"/>
        <v>#VALUE!</v>
      </c>
      <c r="J78" s="1364" t="e">
        <f t="shared" si="31"/>
        <v>#VALUE!</v>
      </c>
      <c r="K78" s="1364" t="e">
        <f t="shared" si="32"/>
        <v>#VALUE!</v>
      </c>
      <c r="L78" s="1364" t="e">
        <f t="shared" si="33"/>
        <v>#VALUE!</v>
      </c>
      <c r="M78" s="1364" t="e">
        <f t="shared" si="34"/>
        <v>#VALUE!</v>
      </c>
      <c r="N78" s="13" t="e">
        <f t="shared" si="35"/>
        <v>#VALUE!</v>
      </c>
      <c r="O78" s="13" t="e">
        <f t="shared" si="35"/>
        <v>#VALUE!</v>
      </c>
      <c r="P78" s="13" t="e">
        <f t="shared" si="35"/>
        <v>#VALUE!</v>
      </c>
      <c r="Q78" s="13" t="e">
        <f t="shared" si="35"/>
        <v>#VALUE!</v>
      </c>
      <c r="R78" s="13" t="e">
        <f t="shared" si="35"/>
        <v>#VALUE!</v>
      </c>
      <c r="S78" s="13" t="e">
        <f t="shared" si="35"/>
        <v>#VALUE!</v>
      </c>
      <c r="U78" s="13" t="str">
        <f t="shared" si="23"/>
        <v/>
      </c>
      <c r="V78" s="13" t="str">
        <f t="shared" si="24"/>
        <v/>
      </c>
      <c r="W78" s="13" t="e">
        <f t="shared" si="36"/>
        <v>#VALUE!</v>
      </c>
    </row>
    <row r="79" spans="1:23" x14ac:dyDescent="0.25">
      <c r="A79" s="1363">
        <v>0.75</v>
      </c>
      <c r="B79" s="13">
        <f t="shared" si="25"/>
        <v>0</v>
      </c>
      <c r="C79" s="1364">
        <f t="shared" si="22"/>
        <v>0</v>
      </c>
      <c r="D79" s="1431" t="e">
        <f>B79*'Рейтинг МКД'!$D$11+'кривые-экспресс'!C79+IF('Рейтинг МКД'!$D$15="нет",7,10)</f>
        <v>#VALUE!</v>
      </c>
      <c r="E79" s="1431" t="e">
        <f t="shared" si="26"/>
        <v>#VALUE!</v>
      </c>
      <c r="F79" s="1364" t="e">
        <f t="shared" si="27"/>
        <v>#VALUE!</v>
      </c>
      <c r="G79" s="1364" t="e">
        <f t="shared" si="28"/>
        <v>#VALUE!</v>
      </c>
      <c r="H79" s="1364" t="e">
        <f t="shared" si="29"/>
        <v>#VALUE!</v>
      </c>
      <c r="I79" s="1364" t="e">
        <f t="shared" si="30"/>
        <v>#VALUE!</v>
      </c>
      <c r="J79" s="1364" t="e">
        <f t="shared" si="31"/>
        <v>#VALUE!</v>
      </c>
      <c r="K79" s="1364" t="e">
        <f t="shared" si="32"/>
        <v>#VALUE!</v>
      </c>
      <c r="L79" s="1364" t="e">
        <f t="shared" si="33"/>
        <v>#VALUE!</v>
      </c>
      <c r="M79" s="1364" t="e">
        <f t="shared" si="34"/>
        <v>#VALUE!</v>
      </c>
      <c r="N79" s="13" t="e">
        <f t="shared" si="35"/>
        <v>#VALUE!</v>
      </c>
      <c r="O79" s="13" t="e">
        <f t="shared" si="35"/>
        <v>#VALUE!</v>
      </c>
      <c r="P79" s="13" t="e">
        <f t="shared" si="35"/>
        <v>#VALUE!</v>
      </c>
      <c r="Q79" s="13" t="e">
        <f t="shared" si="35"/>
        <v>#VALUE!</v>
      </c>
      <c r="R79" s="13" t="e">
        <f t="shared" si="35"/>
        <v>#VALUE!</v>
      </c>
      <c r="S79" s="13" t="e">
        <f t="shared" si="35"/>
        <v>#VALUE!</v>
      </c>
      <c r="U79" s="13" t="str">
        <f t="shared" si="23"/>
        <v/>
      </c>
      <c r="V79" s="13" t="str">
        <f t="shared" si="24"/>
        <v/>
      </c>
      <c r="W79" s="13" t="e">
        <f t="shared" si="36"/>
        <v>#VALUE!</v>
      </c>
    </row>
    <row r="80" spans="1:23" x14ac:dyDescent="0.25">
      <c r="A80" s="1363">
        <v>0.76</v>
      </c>
      <c r="B80" s="13">
        <f t="shared" si="25"/>
        <v>0</v>
      </c>
      <c r="C80" s="1364">
        <f t="shared" si="22"/>
        <v>0</v>
      </c>
      <c r="D80" s="1431" t="e">
        <f>B80*'Рейтинг МКД'!$D$11+'кривые-экспресс'!C80+IF('Рейтинг МКД'!$D$15="нет",7,10)</f>
        <v>#VALUE!</v>
      </c>
      <c r="E80" s="1431" t="e">
        <f t="shared" si="26"/>
        <v>#VALUE!</v>
      </c>
      <c r="F80" s="1364" t="e">
        <f t="shared" si="27"/>
        <v>#VALUE!</v>
      </c>
      <c r="G80" s="1364" t="e">
        <f t="shared" si="28"/>
        <v>#VALUE!</v>
      </c>
      <c r="H80" s="1364" t="e">
        <f t="shared" si="29"/>
        <v>#VALUE!</v>
      </c>
      <c r="I80" s="1364" t="e">
        <f t="shared" si="30"/>
        <v>#VALUE!</v>
      </c>
      <c r="J80" s="1364" t="e">
        <f t="shared" si="31"/>
        <v>#VALUE!</v>
      </c>
      <c r="K80" s="1364" t="e">
        <f t="shared" si="32"/>
        <v>#VALUE!</v>
      </c>
      <c r="L80" s="1364" t="e">
        <f t="shared" si="33"/>
        <v>#VALUE!</v>
      </c>
      <c r="M80" s="1364" t="e">
        <f t="shared" si="34"/>
        <v>#VALUE!</v>
      </c>
      <c r="N80" s="13" t="e">
        <f t="shared" si="35"/>
        <v>#VALUE!</v>
      </c>
      <c r="O80" s="13" t="e">
        <f t="shared" si="35"/>
        <v>#VALUE!</v>
      </c>
      <c r="P80" s="13" t="e">
        <f t="shared" si="35"/>
        <v>#VALUE!</v>
      </c>
      <c r="Q80" s="13" t="e">
        <f t="shared" si="35"/>
        <v>#VALUE!</v>
      </c>
      <c r="R80" s="13" t="e">
        <f t="shared" si="35"/>
        <v>#VALUE!</v>
      </c>
      <c r="S80" s="13" t="e">
        <f t="shared" si="35"/>
        <v>#VALUE!</v>
      </c>
      <c r="U80" s="13" t="str">
        <f t="shared" si="23"/>
        <v/>
      </c>
      <c r="V80" s="13" t="str">
        <f t="shared" si="24"/>
        <v/>
      </c>
      <c r="W80" s="13" t="e">
        <f t="shared" si="36"/>
        <v>#VALUE!</v>
      </c>
    </row>
    <row r="81" spans="1:23" x14ac:dyDescent="0.25">
      <c r="A81" s="1363">
        <v>0.77</v>
      </c>
      <c r="B81" s="13">
        <f t="shared" si="25"/>
        <v>0</v>
      </c>
      <c r="C81" s="1364">
        <f t="shared" si="22"/>
        <v>0</v>
      </c>
      <c r="D81" s="1431" t="e">
        <f>B81*'Рейтинг МКД'!$D$11+'кривые-экспресс'!C81+IF('Рейтинг МКД'!$D$15="нет",7,10)</f>
        <v>#VALUE!</v>
      </c>
      <c r="E81" s="1431" t="e">
        <f t="shared" si="26"/>
        <v>#VALUE!</v>
      </c>
      <c r="F81" s="1364" t="e">
        <f t="shared" si="27"/>
        <v>#VALUE!</v>
      </c>
      <c r="G81" s="1364" t="e">
        <f t="shared" si="28"/>
        <v>#VALUE!</v>
      </c>
      <c r="H81" s="1364" t="e">
        <f t="shared" si="29"/>
        <v>#VALUE!</v>
      </c>
      <c r="I81" s="1364" t="e">
        <f t="shared" si="30"/>
        <v>#VALUE!</v>
      </c>
      <c r="J81" s="1364" t="e">
        <f t="shared" si="31"/>
        <v>#VALUE!</v>
      </c>
      <c r="K81" s="1364" t="e">
        <f t="shared" si="32"/>
        <v>#VALUE!</v>
      </c>
      <c r="L81" s="1364" t="e">
        <f t="shared" si="33"/>
        <v>#VALUE!</v>
      </c>
      <c r="M81" s="1364" t="e">
        <f t="shared" si="34"/>
        <v>#VALUE!</v>
      </c>
      <c r="N81" s="13" t="e">
        <f t="shared" si="35"/>
        <v>#VALUE!</v>
      </c>
      <c r="O81" s="13" t="e">
        <f t="shared" si="35"/>
        <v>#VALUE!</v>
      </c>
      <c r="P81" s="13" t="e">
        <f t="shared" si="35"/>
        <v>#VALUE!</v>
      </c>
      <c r="Q81" s="13" t="e">
        <f t="shared" si="35"/>
        <v>#VALUE!</v>
      </c>
      <c r="R81" s="13" t="e">
        <f t="shared" si="35"/>
        <v>#VALUE!</v>
      </c>
      <c r="S81" s="13" t="e">
        <f t="shared" si="35"/>
        <v>#VALUE!</v>
      </c>
      <c r="U81" s="13" t="str">
        <f t="shared" si="23"/>
        <v/>
      </c>
      <c r="V81" s="13" t="str">
        <f t="shared" si="24"/>
        <v/>
      </c>
      <c r="W81" s="13" t="e">
        <f t="shared" si="36"/>
        <v>#VALUE!</v>
      </c>
    </row>
    <row r="82" spans="1:23" x14ac:dyDescent="0.25">
      <c r="A82" s="1363">
        <v>0.78</v>
      </c>
      <c r="B82" s="13">
        <f t="shared" si="25"/>
        <v>0</v>
      </c>
      <c r="C82" s="1364">
        <f t="shared" si="22"/>
        <v>0</v>
      </c>
      <c r="D82" s="1431" t="e">
        <f>B82*'Рейтинг МКД'!$D$11+'кривые-экспресс'!C82+IF('Рейтинг МКД'!$D$15="нет",7,10)</f>
        <v>#VALUE!</v>
      </c>
      <c r="E82" s="1431" t="e">
        <f t="shared" si="26"/>
        <v>#VALUE!</v>
      </c>
      <c r="F82" s="1364" t="e">
        <f t="shared" si="27"/>
        <v>#VALUE!</v>
      </c>
      <c r="G82" s="1364" t="e">
        <f t="shared" si="28"/>
        <v>#VALUE!</v>
      </c>
      <c r="H82" s="1364" t="e">
        <f t="shared" si="29"/>
        <v>#VALUE!</v>
      </c>
      <c r="I82" s="1364" t="e">
        <f t="shared" si="30"/>
        <v>#VALUE!</v>
      </c>
      <c r="J82" s="1364" t="e">
        <f t="shared" si="31"/>
        <v>#VALUE!</v>
      </c>
      <c r="K82" s="1364" t="e">
        <f t="shared" si="32"/>
        <v>#VALUE!</v>
      </c>
      <c r="L82" s="1364" t="e">
        <f t="shared" si="33"/>
        <v>#VALUE!</v>
      </c>
      <c r="M82" s="1364" t="e">
        <f t="shared" si="34"/>
        <v>#VALUE!</v>
      </c>
      <c r="N82" s="13" t="e">
        <f t="shared" si="35"/>
        <v>#VALUE!</v>
      </c>
      <c r="O82" s="13" t="e">
        <f t="shared" si="35"/>
        <v>#VALUE!</v>
      </c>
      <c r="P82" s="13" t="e">
        <f t="shared" si="35"/>
        <v>#VALUE!</v>
      </c>
      <c r="Q82" s="13" t="e">
        <f t="shared" si="35"/>
        <v>#VALUE!</v>
      </c>
      <c r="R82" s="13" t="e">
        <f t="shared" si="35"/>
        <v>#VALUE!</v>
      </c>
      <c r="S82" s="13" t="e">
        <f t="shared" si="35"/>
        <v>#VALUE!</v>
      </c>
      <c r="U82" s="13" t="str">
        <f t="shared" si="23"/>
        <v/>
      </c>
      <c r="V82" s="13" t="str">
        <f t="shared" si="24"/>
        <v/>
      </c>
      <c r="W82" s="13" t="e">
        <f t="shared" si="36"/>
        <v>#VALUE!</v>
      </c>
    </row>
    <row r="83" spans="1:23" x14ac:dyDescent="0.25">
      <c r="A83" s="1363">
        <v>0.79</v>
      </c>
      <c r="B83" s="13">
        <f t="shared" si="25"/>
        <v>0</v>
      </c>
      <c r="C83" s="1364">
        <f t="shared" si="22"/>
        <v>0</v>
      </c>
      <c r="D83" s="1431" t="e">
        <f>B83*'Рейтинг МКД'!$D$11+'кривые-экспресс'!C83+IF('Рейтинг МКД'!$D$15="нет",7,10)</f>
        <v>#VALUE!</v>
      </c>
      <c r="E83" s="1431" t="e">
        <f t="shared" si="26"/>
        <v>#VALUE!</v>
      </c>
      <c r="F83" s="1364" t="e">
        <f t="shared" si="27"/>
        <v>#VALUE!</v>
      </c>
      <c r="G83" s="1364" t="e">
        <f t="shared" si="28"/>
        <v>#VALUE!</v>
      </c>
      <c r="H83" s="1364" t="e">
        <f t="shared" si="29"/>
        <v>#VALUE!</v>
      </c>
      <c r="I83" s="1364" t="e">
        <f t="shared" si="30"/>
        <v>#VALUE!</v>
      </c>
      <c r="J83" s="1364" t="e">
        <f t="shared" si="31"/>
        <v>#VALUE!</v>
      </c>
      <c r="K83" s="1364" t="e">
        <f t="shared" si="32"/>
        <v>#VALUE!</v>
      </c>
      <c r="L83" s="1364" t="e">
        <f t="shared" si="33"/>
        <v>#VALUE!</v>
      </c>
      <c r="M83" s="1364" t="e">
        <f t="shared" si="34"/>
        <v>#VALUE!</v>
      </c>
      <c r="N83" s="13" t="e">
        <f t="shared" si="35"/>
        <v>#VALUE!</v>
      </c>
      <c r="O83" s="13" t="e">
        <f t="shared" si="35"/>
        <v>#VALUE!</v>
      </c>
      <c r="P83" s="13" t="e">
        <f t="shared" si="35"/>
        <v>#VALUE!</v>
      </c>
      <c r="Q83" s="13" t="e">
        <f t="shared" si="35"/>
        <v>#VALUE!</v>
      </c>
      <c r="R83" s="13" t="e">
        <f t="shared" si="35"/>
        <v>#VALUE!</v>
      </c>
      <c r="S83" s="13" t="e">
        <f t="shared" si="35"/>
        <v>#VALUE!</v>
      </c>
      <c r="U83" s="13" t="str">
        <f t="shared" si="23"/>
        <v/>
      </c>
      <c r="V83" s="13" t="str">
        <f t="shared" si="24"/>
        <v/>
      </c>
      <c r="W83" s="13" t="e">
        <f t="shared" si="36"/>
        <v>#VALUE!</v>
      </c>
    </row>
    <row r="84" spans="1:23" x14ac:dyDescent="0.25">
      <c r="A84" s="1363">
        <v>0.8</v>
      </c>
      <c r="B84" s="13">
        <f t="shared" si="25"/>
        <v>0</v>
      </c>
      <c r="C84" s="1364">
        <f t="shared" si="22"/>
        <v>0</v>
      </c>
      <c r="D84" s="1431" t="e">
        <f>B84*'Рейтинг МКД'!$D$11+'кривые-экспресс'!C84+IF('Рейтинг МКД'!$D$15="нет",7,10)</f>
        <v>#VALUE!</v>
      </c>
      <c r="E84" s="1431" t="e">
        <f t="shared" si="26"/>
        <v>#VALUE!</v>
      </c>
      <c r="F84" s="1364" t="e">
        <f t="shared" si="27"/>
        <v>#VALUE!</v>
      </c>
      <c r="G84" s="1364" t="e">
        <f t="shared" si="28"/>
        <v>#VALUE!</v>
      </c>
      <c r="H84" s="1364" t="e">
        <f t="shared" si="29"/>
        <v>#VALUE!</v>
      </c>
      <c r="I84" s="1364" t="e">
        <f t="shared" si="30"/>
        <v>#VALUE!</v>
      </c>
      <c r="J84" s="1364" t="e">
        <f t="shared" si="31"/>
        <v>#VALUE!</v>
      </c>
      <c r="K84" s="1364" t="e">
        <f t="shared" si="32"/>
        <v>#VALUE!</v>
      </c>
      <c r="L84" s="1364" t="e">
        <f t="shared" si="33"/>
        <v>#VALUE!</v>
      </c>
      <c r="M84" s="1364" t="e">
        <f t="shared" si="34"/>
        <v>#VALUE!</v>
      </c>
      <c r="N84" s="13" t="e">
        <f t="shared" si="35"/>
        <v>#VALUE!</v>
      </c>
      <c r="O84" s="13" t="e">
        <f t="shared" si="35"/>
        <v>#VALUE!</v>
      </c>
      <c r="P84" s="13" t="e">
        <f t="shared" si="35"/>
        <v>#VALUE!</v>
      </c>
      <c r="Q84" s="13" t="e">
        <f t="shared" si="35"/>
        <v>#VALUE!</v>
      </c>
      <c r="R84" s="13" t="e">
        <f t="shared" si="35"/>
        <v>#VALUE!</v>
      </c>
      <c r="S84" s="13" t="e">
        <f t="shared" si="35"/>
        <v>#VALUE!</v>
      </c>
      <c r="U84" s="13" t="str">
        <f t="shared" si="23"/>
        <v/>
      </c>
      <c r="V84" s="13" t="str">
        <f t="shared" si="24"/>
        <v/>
      </c>
      <c r="W84" s="13" t="e">
        <f t="shared" si="36"/>
        <v>#VALUE!</v>
      </c>
    </row>
    <row r="85" spans="1:23" x14ac:dyDescent="0.25">
      <c r="A85" s="1363">
        <v>0.81</v>
      </c>
      <c r="B85" s="13">
        <f t="shared" si="25"/>
        <v>0</v>
      </c>
      <c r="C85" s="1364">
        <f t="shared" si="22"/>
        <v>0</v>
      </c>
      <c r="D85" s="1431" t="e">
        <f>B85*'Рейтинг МКД'!$D$11+'кривые-экспресс'!C85+IF('Рейтинг МКД'!$D$15="нет",7,10)</f>
        <v>#VALUE!</v>
      </c>
      <c r="E85" s="1431" t="e">
        <f t="shared" si="26"/>
        <v>#VALUE!</v>
      </c>
      <c r="F85" s="1364" t="e">
        <f t="shared" si="27"/>
        <v>#VALUE!</v>
      </c>
      <c r="G85" s="1364" t="e">
        <f t="shared" si="28"/>
        <v>#VALUE!</v>
      </c>
      <c r="H85" s="1364" t="e">
        <f t="shared" si="29"/>
        <v>#VALUE!</v>
      </c>
      <c r="I85" s="1364" t="e">
        <f t="shared" si="30"/>
        <v>#VALUE!</v>
      </c>
      <c r="J85" s="1364" t="e">
        <f t="shared" si="31"/>
        <v>#VALUE!</v>
      </c>
      <c r="K85" s="1364" t="e">
        <f t="shared" si="32"/>
        <v>#VALUE!</v>
      </c>
      <c r="L85" s="1364" t="e">
        <f t="shared" si="33"/>
        <v>#VALUE!</v>
      </c>
      <c r="M85" s="1364" t="e">
        <f t="shared" si="34"/>
        <v>#VALUE!</v>
      </c>
      <c r="N85" s="13" t="e">
        <f t="shared" si="35"/>
        <v>#VALUE!</v>
      </c>
      <c r="O85" s="13" t="e">
        <f t="shared" si="35"/>
        <v>#VALUE!</v>
      </c>
      <c r="P85" s="13" t="e">
        <f t="shared" si="35"/>
        <v>#VALUE!</v>
      </c>
      <c r="Q85" s="13" t="e">
        <f t="shared" si="35"/>
        <v>#VALUE!</v>
      </c>
      <c r="R85" s="13" t="e">
        <f t="shared" si="35"/>
        <v>#VALUE!</v>
      </c>
      <c r="S85" s="13" t="e">
        <f t="shared" si="35"/>
        <v>#VALUE!</v>
      </c>
      <c r="U85" s="13" t="str">
        <f t="shared" si="23"/>
        <v/>
      </c>
      <c r="V85" s="13" t="str">
        <f t="shared" si="24"/>
        <v/>
      </c>
      <c r="W85" s="13" t="e">
        <f t="shared" si="36"/>
        <v>#VALUE!</v>
      </c>
    </row>
    <row r="86" spans="1:23" x14ac:dyDescent="0.25">
      <c r="A86" s="1363">
        <v>0.82</v>
      </c>
      <c r="B86" s="13">
        <f t="shared" si="25"/>
        <v>0</v>
      </c>
      <c r="C86" s="1364">
        <f t="shared" si="22"/>
        <v>0</v>
      </c>
      <c r="D86" s="1431" t="e">
        <f>B86*'Рейтинг МКД'!$D$11+'кривые-экспресс'!C86+IF('Рейтинг МКД'!$D$15="нет",7,10)</f>
        <v>#VALUE!</v>
      </c>
      <c r="E86" s="1431" t="e">
        <f t="shared" si="26"/>
        <v>#VALUE!</v>
      </c>
      <c r="F86" s="1364" t="e">
        <f t="shared" si="27"/>
        <v>#VALUE!</v>
      </c>
      <c r="G86" s="1364" t="e">
        <f t="shared" si="28"/>
        <v>#VALUE!</v>
      </c>
      <c r="H86" s="1364" t="e">
        <f t="shared" si="29"/>
        <v>#VALUE!</v>
      </c>
      <c r="I86" s="1364" t="e">
        <f t="shared" si="30"/>
        <v>#VALUE!</v>
      </c>
      <c r="J86" s="1364" t="e">
        <f t="shared" si="31"/>
        <v>#VALUE!</v>
      </c>
      <c r="K86" s="1364" t="e">
        <f t="shared" si="32"/>
        <v>#VALUE!</v>
      </c>
      <c r="L86" s="1364" t="e">
        <f t="shared" si="33"/>
        <v>#VALUE!</v>
      </c>
      <c r="M86" s="1364" t="e">
        <f t="shared" si="34"/>
        <v>#VALUE!</v>
      </c>
      <c r="N86" s="13" t="e">
        <f t="shared" si="35"/>
        <v>#VALUE!</v>
      </c>
      <c r="O86" s="13" t="e">
        <f t="shared" si="35"/>
        <v>#VALUE!</v>
      </c>
      <c r="P86" s="13" t="e">
        <f t="shared" si="35"/>
        <v>#VALUE!</v>
      </c>
      <c r="Q86" s="13" t="e">
        <f t="shared" si="35"/>
        <v>#VALUE!</v>
      </c>
      <c r="R86" s="13" t="e">
        <f t="shared" si="35"/>
        <v>#VALUE!</v>
      </c>
      <c r="S86" s="13" t="e">
        <f t="shared" si="35"/>
        <v>#VALUE!</v>
      </c>
      <c r="U86" s="13" t="str">
        <f t="shared" si="23"/>
        <v/>
      </c>
      <c r="V86" s="13" t="str">
        <f t="shared" si="24"/>
        <v/>
      </c>
      <c r="W86" s="13" t="e">
        <f t="shared" si="36"/>
        <v>#VALUE!</v>
      </c>
    </row>
    <row r="87" spans="1:23" x14ac:dyDescent="0.25">
      <c r="A87" s="1363">
        <v>0.83</v>
      </c>
      <c r="B87" s="13">
        <f t="shared" si="25"/>
        <v>0</v>
      </c>
      <c r="C87" s="1364">
        <f t="shared" si="22"/>
        <v>0</v>
      </c>
      <c r="D87" s="1431" t="e">
        <f>B87*'Рейтинг МКД'!$D$11+'кривые-экспресс'!C87+IF('Рейтинг МКД'!$D$15="нет",7,10)</f>
        <v>#VALUE!</v>
      </c>
      <c r="E87" s="1431" t="e">
        <f t="shared" si="26"/>
        <v>#VALUE!</v>
      </c>
      <c r="F87" s="1364" t="e">
        <f t="shared" si="27"/>
        <v>#VALUE!</v>
      </c>
      <c r="G87" s="1364" t="e">
        <f t="shared" si="28"/>
        <v>#VALUE!</v>
      </c>
      <c r="H87" s="1364" t="e">
        <f t="shared" si="29"/>
        <v>#VALUE!</v>
      </c>
      <c r="I87" s="1364" t="e">
        <f t="shared" si="30"/>
        <v>#VALUE!</v>
      </c>
      <c r="J87" s="1364" t="e">
        <f t="shared" si="31"/>
        <v>#VALUE!</v>
      </c>
      <c r="K87" s="1364" t="e">
        <f t="shared" si="32"/>
        <v>#VALUE!</v>
      </c>
      <c r="L87" s="1364" t="e">
        <f t="shared" si="33"/>
        <v>#VALUE!</v>
      </c>
      <c r="M87" s="1364" t="e">
        <f t="shared" si="34"/>
        <v>#VALUE!</v>
      </c>
      <c r="N87" s="13" t="e">
        <f t="shared" ref="N87:S102" si="37">N86</f>
        <v>#VALUE!</v>
      </c>
      <c r="O87" s="13" t="e">
        <f t="shared" si="37"/>
        <v>#VALUE!</v>
      </c>
      <c r="P87" s="13" t="e">
        <f t="shared" si="37"/>
        <v>#VALUE!</v>
      </c>
      <c r="Q87" s="13" t="e">
        <f t="shared" si="37"/>
        <v>#VALUE!</v>
      </c>
      <c r="R87" s="13" t="e">
        <f t="shared" si="37"/>
        <v>#VALUE!</v>
      </c>
      <c r="S87" s="13" t="e">
        <f t="shared" si="37"/>
        <v>#VALUE!</v>
      </c>
      <c r="U87" s="13" t="str">
        <f t="shared" si="23"/>
        <v/>
      </c>
      <c r="V87" s="13" t="str">
        <f t="shared" si="24"/>
        <v/>
      </c>
      <c r="W87" s="13" t="e">
        <f t="shared" si="36"/>
        <v>#VALUE!</v>
      </c>
    </row>
    <row r="88" spans="1:23" x14ac:dyDescent="0.25">
      <c r="A88" s="1363">
        <v>0.84</v>
      </c>
      <c r="B88" s="13">
        <f t="shared" si="25"/>
        <v>0</v>
      </c>
      <c r="C88" s="1364">
        <f t="shared" si="22"/>
        <v>0</v>
      </c>
      <c r="D88" s="1431" t="e">
        <f>B88*'Рейтинг МКД'!$D$11+'кривые-экспресс'!C88+IF('Рейтинг МКД'!$D$15="нет",7,10)</f>
        <v>#VALUE!</v>
      </c>
      <c r="E88" s="1431" t="e">
        <f t="shared" si="26"/>
        <v>#VALUE!</v>
      </c>
      <c r="F88" s="1364" t="e">
        <f t="shared" si="27"/>
        <v>#VALUE!</v>
      </c>
      <c r="G88" s="1364" t="e">
        <f t="shared" si="28"/>
        <v>#VALUE!</v>
      </c>
      <c r="H88" s="1364" t="e">
        <f t="shared" si="29"/>
        <v>#VALUE!</v>
      </c>
      <c r="I88" s="1364" t="e">
        <f t="shared" si="30"/>
        <v>#VALUE!</v>
      </c>
      <c r="J88" s="1364" t="e">
        <f t="shared" si="31"/>
        <v>#VALUE!</v>
      </c>
      <c r="K88" s="1364" t="e">
        <f t="shared" si="32"/>
        <v>#VALUE!</v>
      </c>
      <c r="L88" s="1364" t="e">
        <f t="shared" si="33"/>
        <v>#VALUE!</v>
      </c>
      <c r="M88" s="1364" t="e">
        <f t="shared" si="34"/>
        <v>#VALUE!</v>
      </c>
      <c r="N88" s="13" t="e">
        <f t="shared" si="37"/>
        <v>#VALUE!</v>
      </c>
      <c r="O88" s="13" t="e">
        <f t="shared" si="37"/>
        <v>#VALUE!</v>
      </c>
      <c r="P88" s="13" t="e">
        <f t="shared" si="37"/>
        <v>#VALUE!</v>
      </c>
      <c r="Q88" s="13" t="e">
        <f t="shared" si="37"/>
        <v>#VALUE!</v>
      </c>
      <c r="R88" s="13" t="e">
        <f t="shared" si="37"/>
        <v>#VALUE!</v>
      </c>
      <c r="S88" s="13" t="e">
        <f t="shared" si="37"/>
        <v>#VALUE!</v>
      </c>
      <c r="U88" s="13" t="str">
        <f t="shared" si="23"/>
        <v/>
      </c>
      <c r="V88" s="13" t="str">
        <f t="shared" si="24"/>
        <v/>
      </c>
      <c r="W88" s="13" t="e">
        <f t="shared" si="36"/>
        <v>#VALUE!</v>
      </c>
    </row>
    <row r="89" spans="1:23" x14ac:dyDescent="0.25">
      <c r="A89" s="1363">
        <v>0.85</v>
      </c>
      <c r="B89" s="13">
        <f t="shared" si="25"/>
        <v>0</v>
      </c>
      <c r="C89" s="1364">
        <f t="shared" si="22"/>
        <v>0</v>
      </c>
      <c r="D89" s="1431" t="e">
        <f>B89*'Рейтинг МКД'!$D$11+'кривые-экспресс'!C89+IF('Рейтинг МКД'!$D$15="нет",7,10)</f>
        <v>#VALUE!</v>
      </c>
      <c r="E89" s="1431" t="e">
        <f t="shared" si="26"/>
        <v>#VALUE!</v>
      </c>
      <c r="F89" s="1364" t="e">
        <f t="shared" si="27"/>
        <v>#VALUE!</v>
      </c>
      <c r="G89" s="1364" t="e">
        <f t="shared" si="28"/>
        <v>#VALUE!</v>
      </c>
      <c r="H89" s="1364" t="e">
        <f t="shared" si="29"/>
        <v>#VALUE!</v>
      </c>
      <c r="I89" s="1364" t="e">
        <f t="shared" si="30"/>
        <v>#VALUE!</v>
      </c>
      <c r="J89" s="1364" t="e">
        <f t="shared" si="31"/>
        <v>#VALUE!</v>
      </c>
      <c r="K89" s="1364" t="e">
        <f t="shared" si="32"/>
        <v>#VALUE!</v>
      </c>
      <c r="L89" s="1364" t="e">
        <f t="shared" si="33"/>
        <v>#VALUE!</v>
      </c>
      <c r="M89" s="1364" t="e">
        <f t="shared" si="34"/>
        <v>#VALUE!</v>
      </c>
      <c r="N89" s="13" t="e">
        <f t="shared" si="37"/>
        <v>#VALUE!</v>
      </c>
      <c r="O89" s="13" t="e">
        <f t="shared" si="37"/>
        <v>#VALUE!</v>
      </c>
      <c r="P89" s="13" t="e">
        <f t="shared" si="37"/>
        <v>#VALUE!</v>
      </c>
      <c r="Q89" s="13" t="e">
        <f t="shared" si="37"/>
        <v>#VALUE!</v>
      </c>
      <c r="R89" s="13" t="e">
        <f t="shared" si="37"/>
        <v>#VALUE!</v>
      </c>
      <c r="S89" s="13" t="e">
        <f t="shared" si="37"/>
        <v>#VALUE!</v>
      </c>
      <c r="U89" s="13" t="str">
        <f t="shared" si="23"/>
        <v/>
      </c>
      <c r="V89" s="13" t="str">
        <f t="shared" si="24"/>
        <v/>
      </c>
      <c r="W89" s="13" t="e">
        <f t="shared" si="36"/>
        <v>#VALUE!</v>
      </c>
    </row>
    <row r="90" spans="1:23" x14ac:dyDescent="0.25">
      <c r="A90" s="1363">
        <v>0.86</v>
      </c>
      <c r="B90" s="13">
        <f t="shared" si="25"/>
        <v>0</v>
      </c>
      <c r="C90" s="1364">
        <f t="shared" si="22"/>
        <v>0</v>
      </c>
      <c r="D90" s="1431" t="e">
        <f>B90*'Рейтинг МКД'!$D$11+'кривые-экспресс'!C90+IF('Рейтинг МКД'!$D$15="нет",7,10)</f>
        <v>#VALUE!</v>
      </c>
      <c r="E90" s="1431" t="e">
        <f t="shared" si="26"/>
        <v>#VALUE!</v>
      </c>
      <c r="F90" s="1364" t="e">
        <f t="shared" si="27"/>
        <v>#VALUE!</v>
      </c>
      <c r="G90" s="1364" t="e">
        <f t="shared" si="28"/>
        <v>#VALUE!</v>
      </c>
      <c r="H90" s="1364" t="e">
        <f t="shared" si="29"/>
        <v>#VALUE!</v>
      </c>
      <c r="I90" s="1364" t="e">
        <f t="shared" si="30"/>
        <v>#VALUE!</v>
      </c>
      <c r="J90" s="1364" t="e">
        <f t="shared" si="31"/>
        <v>#VALUE!</v>
      </c>
      <c r="K90" s="1364" t="e">
        <f t="shared" si="32"/>
        <v>#VALUE!</v>
      </c>
      <c r="L90" s="1364" t="e">
        <f t="shared" si="33"/>
        <v>#VALUE!</v>
      </c>
      <c r="M90" s="1364" t="e">
        <f t="shared" si="34"/>
        <v>#VALUE!</v>
      </c>
      <c r="N90" s="13" t="e">
        <f t="shared" si="37"/>
        <v>#VALUE!</v>
      </c>
      <c r="O90" s="13" t="e">
        <f t="shared" si="37"/>
        <v>#VALUE!</v>
      </c>
      <c r="P90" s="13" t="e">
        <f t="shared" si="37"/>
        <v>#VALUE!</v>
      </c>
      <c r="Q90" s="13" t="e">
        <f t="shared" si="37"/>
        <v>#VALUE!</v>
      </c>
      <c r="R90" s="13" t="e">
        <f t="shared" si="37"/>
        <v>#VALUE!</v>
      </c>
      <c r="S90" s="13" t="e">
        <f t="shared" si="37"/>
        <v>#VALUE!</v>
      </c>
      <c r="U90" s="13" t="str">
        <f t="shared" si="23"/>
        <v/>
      </c>
      <c r="V90" s="13" t="str">
        <f t="shared" si="24"/>
        <v/>
      </c>
      <c r="W90" s="13" t="e">
        <f t="shared" si="36"/>
        <v>#VALUE!</v>
      </c>
    </row>
    <row r="91" spans="1:23" x14ac:dyDescent="0.25">
      <c r="A91" s="1363">
        <v>0.87</v>
      </c>
      <c r="B91" s="13">
        <f t="shared" si="25"/>
        <v>0</v>
      </c>
      <c r="C91" s="1364">
        <f t="shared" si="22"/>
        <v>0</v>
      </c>
      <c r="D91" s="1431" t="e">
        <f>B91*'Рейтинг МКД'!$D$11+'кривые-экспресс'!C91+IF('Рейтинг МКД'!$D$15="нет",7,10)</f>
        <v>#VALUE!</v>
      </c>
      <c r="E91" s="1431" t="e">
        <f t="shared" si="26"/>
        <v>#VALUE!</v>
      </c>
      <c r="F91" s="1364" t="e">
        <f t="shared" si="27"/>
        <v>#VALUE!</v>
      </c>
      <c r="G91" s="1364" t="e">
        <f t="shared" si="28"/>
        <v>#VALUE!</v>
      </c>
      <c r="H91" s="1364" t="e">
        <f t="shared" si="29"/>
        <v>#VALUE!</v>
      </c>
      <c r="I91" s="1364" t="e">
        <f t="shared" si="30"/>
        <v>#VALUE!</v>
      </c>
      <c r="J91" s="1364" t="e">
        <f t="shared" si="31"/>
        <v>#VALUE!</v>
      </c>
      <c r="K91" s="1364" t="e">
        <f t="shared" si="32"/>
        <v>#VALUE!</v>
      </c>
      <c r="L91" s="1364" t="e">
        <f t="shared" si="33"/>
        <v>#VALUE!</v>
      </c>
      <c r="M91" s="1364" t="e">
        <f t="shared" si="34"/>
        <v>#VALUE!</v>
      </c>
      <c r="N91" s="13" t="e">
        <f t="shared" si="37"/>
        <v>#VALUE!</v>
      </c>
      <c r="O91" s="13" t="e">
        <f t="shared" si="37"/>
        <v>#VALUE!</v>
      </c>
      <c r="P91" s="13" t="e">
        <f t="shared" si="37"/>
        <v>#VALUE!</v>
      </c>
      <c r="Q91" s="13" t="e">
        <f t="shared" si="37"/>
        <v>#VALUE!</v>
      </c>
      <c r="R91" s="13" t="e">
        <f t="shared" si="37"/>
        <v>#VALUE!</v>
      </c>
      <c r="S91" s="13" t="e">
        <f t="shared" si="37"/>
        <v>#VALUE!</v>
      </c>
      <c r="U91" s="13" t="str">
        <f t="shared" si="23"/>
        <v/>
      </c>
      <c r="V91" s="13" t="str">
        <f t="shared" si="24"/>
        <v/>
      </c>
      <c r="W91" s="13" t="e">
        <f t="shared" si="36"/>
        <v>#VALUE!</v>
      </c>
    </row>
    <row r="92" spans="1:23" x14ac:dyDescent="0.25">
      <c r="A92" s="1363">
        <v>0.88</v>
      </c>
      <c r="B92" s="13">
        <f t="shared" si="25"/>
        <v>0</v>
      </c>
      <c r="C92" s="1364">
        <f t="shared" si="22"/>
        <v>0</v>
      </c>
      <c r="D92" s="1431" t="e">
        <f>B92*'Рейтинг МКД'!$D$11+'кривые-экспресс'!C92+IF('Рейтинг МКД'!$D$15="нет",7,10)</f>
        <v>#VALUE!</v>
      </c>
      <c r="E92" s="1431" t="e">
        <f t="shared" si="26"/>
        <v>#VALUE!</v>
      </c>
      <c r="F92" s="1364" t="e">
        <f t="shared" si="27"/>
        <v>#VALUE!</v>
      </c>
      <c r="G92" s="1364" t="e">
        <f t="shared" si="28"/>
        <v>#VALUE!</v>
      </c>
      <c r="H92" s="1364" t="e">
        <f t="shared" si="29"/>
        <v>#VALUE!</v>
      </c>
      <c r="I92" s="1364" t="e">
        <f t="shared" si="30"/>
        <v>#VALUE!</v>
      </c>
      <c r="J92" s="1364" t="e">
        <f t="shared" si="31"/>
        <v>#VALUE!</v>
      </c>
      <c r="K92" s="1364" t="e">
        <f t="shared" si="32"/>
        <v>#VALUE!</v>
      </c>
      <c r="L92" s="1364" t="e">
        <f t="shared" si="33"/>
        <v>#VALUE!</v>
      </c>
      <c r="M92" s="1364" t="e">
        <f t="shared" si="34"/>
        <v>#VALUE!</v>
      </c>
      <c r="N92" s="13" t="e">
        <f t="shared" si="37"/>
        <v>#VALUE!</v>
      </c>
      <c r="O92" s="13" t="e">
        <f t="shared" si="37"/>
        <v>#VALUE!</v>
      </c>
      <c r="P92" s="13" t="e">
        <f t="shared" si="37"/>
        <v>#VALUE!</v>
      </c>
      <c r="Q92" s="13" t="e">
        <f t="shared" si="37"/>
        <v>#VALUE!</v>
      </c>
      <c r="R92" s="13" t="e">
        <f t="shared" si="37"/>
        <v>#VALUE!</v>
      </c>
      <c r="S92" s="13" t="e">
        <f t="shared" si="37"/>
        <v>#VALUE!</v>
      </c>
      <c r="U92" s="13" t="str">
        <f t="shared" si="23"/>
        <v/>
      </c>
      <c r="V92" s="13" t="str">
        <f t="shared" si="24"/>
        <v/>
      </c>
      <c r="W92" s="13" t="e">
        <f t="shared" si="36"/>
        <v>#VALUE!</v>
      </c>
    </row>
    <row r="93" spans="1:23" x14ac:dyDescent="0.25">
      <c r="A93" s="1363">
        <v>0.89</v>
      </c>
      <c r="B93" s="13">
        <f t="shared" si="25"/>
        <v>0</v>
      </c>
      <c r="C93" s="1364">
        <f t="shared" si="22"/>
        <v>0</v>
      </c>
      <c r="D93" s="1431" t="e">
        <f>B93*'Рейтинг МКД'!$D$11+'кривые-экспресс'!C93+IF('Рейтинг МКД'!$D$15="нет",7,10)</f>
        <v>#VALUE!</v>
      </c>
      <c r="E93" s="1431" t="e">
        <f t="shared" si="26"/>
        <v>#VALUE!</v>
      </c>
      <c r="F93" s="1364" t="e">
        <f t="shared" si="27"/>
        <v>#VALUE!</v>
      </c>
      <c r="G93" s="1364" t="e">
        <f t="shared" si="28"/>
        <v>#VALUE!</v>
      </c>
      <c r="H93" s="1364" t="e">
        <f t="shared" si="29"/>
        <v>#VALUE!</v>
      </c>
      <c r="I93" s="1364" t="e">
        <f t="shared" si="30"/>
        <v>#VALUE!</v>
      </c>
      <c r="J93" s="1364" t="e">
        <f t="shared" si="31"/>
        <v>#VALUE!</v>
      </c>
      <c r="K93" s="1364" t="e">
        <f t="shared" si="32"/>
        <v>#VALUE!</v>
      </c>
      <c r="L93" s="1364" t="e">
        <f t="shared" si="33"/>
        <v>#VALUE!</v>
      </c>
      <c r="M93" s="1364" t="e">
        <f t="shared" si="34"/>
        <v>#VALUE!</v>
      </c>
      <c r="N93" s="13" t="e">
        <f t="shared" si="37"/>
        <v>#VALUE!</v>
      </c>
      <c r="O93" s="13" t="e">
        <f t="shared" si="37"/>
        <v>#VALUE!</v>
      </c>
      <c r="P93" s="13" t="e">
        <f t="shared" si="37"/>
        <v>#VALUE!</v>
      </c>
      <c r="Q93" s="13" t="e">
        <f t="shared" si="37"/>
        <v>#VALUE!</v>
      </c>
      <c r="R93" s="13" t="e">
        <f t="shared" si="37"/>
        <v>#VALUE!</v>
      </c>
      <c r="S93" s="13" t="e">
        <f t="shared" si="37"/>
        <v>#VALUE!</v>
      </c>
      <c r="U93" s="13" t="str">
        <f t="shared" si="23"/>
        <v/>
      </c>
      <c r="V93" s="13" t="str">
        <f t="shared" si="24"/>
        <v/>
      </c>
      <c r="W93" s="13" t="e">
        <f t="shared" si="36"/>
        <v>#VALUE!</v>
      </c>
    </row>
    <row r="94" spans="1:23" x14ac:dyDescent="0.25">
      <c r="A94" s="1363">
        <v>0.9</v>
      </c>
      <c r="B94" s="13">
        <f t="shared" si="25"/>
        <v>0</v>
      </c>
      <c r="C94" s="1364">
        <f t="shared" si="22"/>
        <v>0</v>
      </c>
      <c r="D94" s="1431" t="e">
        <f>B94*'Рейтинг МКД'!$D$11+'кривые-экспресс'!C94+IF('Рейтинг МКД'!$D$15="нет",7,10)</f>
        <v>#VALUE!</v>
      </c>
      <c r="E94" s="1431" t="e">
        <f t="shared" si="26"/>
        <v>#VALUE!</v>
      </c>
      <c r="F94" s="1364" t="e">
        <f t="shared" si="27"/>
        <v>#VALUE!</v>
      </c>
      <c r="G94" s="1364" t="e">
        <f t="shared" si="28"/>
        <v>#VALUE!</v>
      </c>
      <c r="H94" s="1364" t="e">
        <f t="shared" si="29"/>
        <v>#VALUE!</v>
      </c>
      <c r="I94" s="1364" t="e">
        <f t="shared" si="30"/>
        <v>#VALUE!</v>
      </c>
      <c r="J94" s="1364" t="e">
        <f t="shared" si="31"/>
        <v>#VALUE!</v>
      </c>
      <c r="K94" s="1364" t="e">
        <f t="shared" si="32"/>
        <v>#VALUE!</v>
      </c>
      <c r="L94" s="1364" t="e">
        <f t="shared" si="33"/>
        <v>#VALUE!</v>
      </c>
      <c r="M94" s="1364" t="e">
        <f t="shared" si="34"/>
        <v>#VALUE!</v>
      </c>
      <c r="N94" s="13" t="e">
        <f t="shared" si="37"/>
        <v>#VALUE!</v>
      </c>
      <c r="O94" s="13" t="e">
        <f t="shared" si="37"/>
        <v>#VALUE!</v>
      </c>
      <c r="P94" s="13" t="e">
        <f t="shared" si="37"/>
        <v>#VALUE!</v>
      </c>
      <c r="Q94" s="13" t="e">
        <f t="shared" si="37"/>
        <v>#VALUE!</v>
      </c>
      <c r="R94" s="13" t="e">
        <f t="shared" si="37"/>
        <v>#VALUE!</v>
      </c>
      <c r="S94" s="13" t="e">
        <f t="shared" si="37"/>
        <v>#VALUE!</v>
      </c>
      <c r="U94" s="13" t="str">
        <f t="shared" si="23"/>
        <v/>
      </c>
      <c r="V94" s="13" t="str">
        <f t="shared" si="24"/>
        <v/>
      </c>
      <c r="W94" s="13" t="e">
        <f t="shared" si="36"/>
        <v>#VALUE!</v>
      </c>
    </row>
    <row r="95" spans="1:23" x14ac:dyDescent="0.25">
      <c r="A95" s="1363">
        <v>0.91</v>
      </c>
      <c r="B95" s="13">
        <f t="shared" si="25"/>
        <v>0</v>
      </c>
      <c r="C95" s="1364">
        <f t="shared" si="22"/>
        <v>0</v>
      </c>
      <c r="D95" s="1431" t="e">
        <f>B95*'Рейтинг МКД'!$D$11+'кривые-экспресс'!C95+IF('Рейтинг МКД'!$D$15="нет",7,10)</f>
        <v>#VALUE!</v>
      </c>
      <c r="E95" s="1431" t="e">
        <f t="shared" si="26"/>
        <v>#VALUE!</v>
      </c>
      <c r="F95" s="1364" t="e">
        <f t="shared" si="27"/>
        <v>#VALUE!</v>
      </c>
      <c r="G95" s="1364" t="e">
        <f t="shared" si="28"/>
        <v>#VALUE!</v>
      </c>
      <c r="H95" s="1364" t="e">
        <f t="shared" si="29"/>
        <v>#VALUE!</v>
      </c>
      <c r="I95" s="1364" t="e">
        <f t="shared" si="30"/>
        <v>#VALUE!</v>
      </c>
      <c r="J95" s="1364" t="e">
        <f t="shared" si="31"/>
        <v>#VALUE!</v>
      </c>
      <c r="K95" s="1364" t="e">
        <f t="shared" si="32"/>
        <v>#VALUE!</v>
      </c>
      <c r="L95" s="1364" t="e">
        <f t="shared" si="33"/>
        <v>#VALUE!</v>
      </c>
      <c r="M95" s="1364" t="e">
        <f t="shared" si="34"/>
        <v>#VALUE!</v>
      </c>
      <c r="N95" s="13" t="e">
        <f t="shared" si="37"/>
        <v>#VALUE!</v>
      </c>
      <c r="O95" s="13" t="e">
        <f t="shared" si="37"/>
        <v>#VALUE!</v>
      </c>
      <c r="P95" s="13" t="e">
        <f t="shared" si="37"/>
        <v>#VALUE!</v>
      </c>
      <c r="Q95" s="13" t="e">
        <f t="shared" si="37"/>
        <v>#VALUE!</v>
      </c>
      <c r="R95" s="13" t="e">
        <f t="shared" si="37"/>
        <v>#VALUE!</v>
      </c>
      <c r="S95" s="13" t="e">
        <f t="shared" si="37"/>
        <v>#VALUE!</v>
      </c>
      <c r="U95" s="13" t="str">
        <f t="shared" si="23"/>
        <v/>
      </c>
      <c r="V95" s="13" t="str">
        <f t="shared" si="24"/>
        <v/>
      </c>
      <c r="W95" s="13" t="e">
        <f t="shared" si="36"/>
        <v>#VALUE!</v>
      </c>
    </row>
    <row r="96" spans="1:23" x14ac:dyDescent="0.25">
      <c r="A96" s="1363">
        <v>0.92</v>
      </c>
      <c r="B96" s="13">
        <f t="shared" si="25"/>
        <v>0</v>
      </c>
      <c r="C96" s="1364">
        <f t="shared" si="22"/>
        <v>0</v>
      </c>
      <c r="D96" s="1431" t="e">
        <f>B96*'Рейтинг МКД'!$D$11+'кривые-экспресс'!C96+IF('Рейтинг МКД'!$D$15="нет",7,10)</f>
        <v>#VALUE!</v>
      </c>
      <c r="E96" s="1431" t="e">
        <f t="shared" si="26"/>
        <v>#VALUE!</v>
      </c>
      <c r="F96" s="1364" t="e">
        <f t="shared" si="27"/>
        <v>#VALUE!</v>
      </c>
      <c r="G96" s="1364" t="e">
        <f t="shared" si="28"/>
        <v>#VALUE!</v>
      </c>
      <c r="H96" s="1364" t="e">
        <f t="shared" si="29"/>
        <v>#VALUE!</v>
      </c>
      <c r="I96" s="1364" t="e">
        <f t="shared" si="30"/>
        <v>#VALUE!</v>
      </c>
      <c r="J96" s="1364" t="e">
        <f t="shared" si="31"/>
        <v>#VALUE!</v>
      </c>
      <c r="K96" s="1364" t="e">
        <f t="shared" si="32"/>
        <v>#VALUE!</v>
      </c>
      <c r="L96" s="1364" t="e">
        <f t="shared" si="33"/>
        <v>#VALUE!</v>
      </c>
      <c r="M96" s="1364" t="e">
        <f t="shared" si="34"/>
        <v>#VALUE!</v>
      </c>
      <c r="N96" s="13" t="e">
        <f t="shared" si="37"/>
        <v>#VALUE!</v>
      </c>
      <c r="O96" s="13" t="e">
        <f t="shared" si="37"/>
        <v>#VALUE!</v>
      </c>
      <c r="P96" s="13" t="e">
        <f t="shared" si="37"/>
        <v>#VALUE!</v>
      </c>
      <c r="Q96" s="13" t="e">
        <f t="shared" si="37"/>
        <v>#VALUE!</v>
      </c>
      <c r="R96" s="13" t="e">
        <f t="shared" si="37"/>
        <v>#VALUE!</v>
      </c>
      <c r="S96" s="13" t="e">
        <f t="shared" si="37"/>
        <v>#VALUE!</v>
      </c>
      <c r="U96" s="13" t="str">
        <f t="shared" si="23"/>
        <v/>
      </c>
      <c r="V96" s="13" t="str">
        <f t="shared" si="24"/>
        <v/>
      </c>
      <c r="W96" s="13" t="e">
        <f t="shared" si="36"/>
        <v>#VALUE!</v>
      </c>
    </row>
    <row r="97" spans="1:23" x14ac:dyDescent="0.25">
      <c r="A97" s="1363">
        <v>0.93</v>
      </c>
      <c r="B97" s="13">
        <f t="shared" si="25"/>
        <v>0</v>
      </c>
      <c r="C97" s="1364">
        <f t="shared" si="22"/>
        <v>0</v>
      </c>
      <c r="D97" s="1431" t="e">
        <f>B97*'Рейтинг МКД'!$D$11+'кривые-экспресс'!C97+IF('Рейтинг МКД'!$D$15="нет",7,10)</f>
        <v>#VALUE!</v>
      </c>
      <c r="E97" s="1431" t="e">
        <f t="shared" si="26"/>
        <v>#VALUE!</v>
      </c>
      <c r="F97" s="1364" t="e">
        <f t="shared" si="27"/>
        <v>#VALUE!</v>
      </c>
      <c r="G97" s="1364" t="e">
        <f t="shared" si="28"/>
        <v>#VALUE!</v>
      </c>
      <c r="H97" s="1364" t="e">
        <f t="shared" si="29"/>
        <v>#VALUE!</v>
      </c>
      <c r="I97" s="1364" t="e">
        <f t="shared" si="30"/>
        <v>#VALUE!</v>
      </c>
      <c r="J97" s="1364" t="e">
        <f t="shared" si="31"/>
        <v>#VALUE!</v>
      </c>
      <c r="K97" s="1364" t="e">
        <f t="shared" si="32"/>
        <v>#VALUE!</v>
      </c>
      <c r="L97" s="1364" t="e">
        <f t="shared" si="33"/>
        <v>#VALUE!</v>
      </c>
      <c r="M97" s="1364" t="e">
        <f t="shared" si="34"/>
        <v>#VALUE!</v>
      </c>
      <c r="N97" s="13" t="e">
        <f t="shared" si="37"/>
        <v>#VALUE!</v>
      </c>
      <c r="O97" s="13" t="e">
        <f t="shared" si="37"/>
        <v>#VALUE!</v>
      </c>
      <c r="P97" s="13" t="e">
        <f t="shared" si="37"/>
        <v>#VALUE!</v>
      </c>
      <c r="Q97" s="13" t="e">
        <f t="shared" si="37"/>
        <v>#VALUE!</v>
      </c>
      <c r="R97" s="13" t="e">
        <f t="shared" si="37"/>
        <v>#VALUE!</v>
      </c>
      <c r="S97" s="13" t="e">
        <f t="shared" si="37"/>
        <v>#VALUE!</v>
      </c>
      <c r="U97" s="13" t="str">
        <f t="shared" si="23"/>
        <v/>
      </c>
      <c r="V97" s="13" t="str">
        <f t="shared" si="24"/>
        <v/>
      </c>
      <c r="W97" s="13" t="e">
        <f t="shared" si="36"/>
        <v>#VALUE!</v>
      </c>
    </row>
    <row r="98" spans="1:23" x14ac:dyDescent="0.25">
      <c r="A98" s="1363">
        <v>0.94</v>
      </c>
      <c r="B98" s="13">
        <f t="shared" si="25"/>
        <v>0</v>
      </c>
      <c r="C98" s="1364">
        <f t="shared" si="22"/>
        <v>0</v>
      </c>
      <c r="D98" s="1431" t="e">
        <f>B98*'Рейтинг МКД'!$D$11+'кривые-экспресс'!C98+IF('Рейтинг МКД'!$D$15="нет",7,10)</f>
        <v>#VALUE!</v>
      </c>
      <c r="E98" s="1431" t="e">
        <f t="shared" si="26"/>
        <v>#VALUE!</v>
      </c>
      <c r="F98" s="1364" t="e">
        <f t="shared" si="27"/>
        <v>#VALUE!</v>
      </c>
      <c r="G98" s="1364" t="e">
        <f t="shared" si="28"/>
        <v>#VALUE!</v>
      </c>
      <c r="H98" s="1364" t="e">
        <f t="shared" si="29"/>
        <v>#VALUE!</v>
      </c>
      <c r="I98" s="1364" t="e">
        <f t="shared" si="30"/>
        <v>#VALUE!</v>
      </c>
      <c r="J98" s="1364" t="e">
        <f t="shared" si="31"/>
        <v>#VALUE!</v>
      </c>
      <c r="K98" s="1364" t="e">
        <f t="shared" si="32"/>
        <v>#VALUE!</v>
      </c>
      <c r="L98" s="1364" t="e">
        <f t="shared" si="33"/>
        <v>#VALUE!</v>
      </c>
      <c r="M98" s="1364" t="e">
        <f t="shared" si="34"/>
        <v>#VALUE!</v>
      </c>
      <c r="N98" s="13" t="e">
        <f t="shared" si="37"/>
        <v>#VALUE!</v>
      </c>
      <c r="O98" s="13" t="e">
        <f t="shared" si="37"/>
        <v>#VALUE!</v>
      </c>
      <c r="P98" s="13" t="e">
        <f t="shared" si="37"/>
        <v>#VALUE!</v>
      </c>
      <c r="Q98" s="13" t="e">
        <f t="shared" si="37"/>
        <v>#VALUE!</v>
      </c>
      <c r="R98" s="13" t="e">
        <f t="shared" si="37"/>
        <v>#VALUE!</v>
      </c>
      <c r="S98" s="13" t="e">
        <f t="shared" si="37"/>
        <v>#VALUE!</v>
      </c>
      <c r="U98" s="13" t="str">
        <f t="shared" si="23"/>
        <v/>
      </c>
      <c r="V98" s="13" t="str">
        <f t="shared" si="24"/>
        <v/>
      </c>
      <c r="W98" s="13" t="e">
        <f t="shared" si="36"/>
        <v>#VALUE!</v>
      </c>
    </row>
    <row r="99" spans="1:23" x14ac:dyDescent="0.25">
      <c r="A99" s="1363">
        <v>0.95</v>
      </c>
      <c r="B99" s="13">
        <f t="shared" si="25"/>
        <v>0</v>
      </c>
      <c r="C99" s="1364">
        <f t="shared" si="22"/>
        <v>0</v>
      </c>
      <c r="D99" s="1431" t="e">
        <f>B99*'Рейтинг МКД'!$D$11+'кривые-экспресс'!C99+IF('Рейтинг МКД'!$D$15="нет",7,10)</f>
        <v>#VALUE!</v>
      </c>
      <c r="E99" s="1431" t="e">
        <f t="shared" si="26"/>
        <v>#VALUE!</v>
      </c>
      <c r="F99" s="1364" t="e">
        <f t="shared" si="27"/>
        <v>#VALUE!</v>
      </c>
      <c r="G99" s="1364" t="e">
        <f t="shared" si="28"/>
        <v>#VALUE!</v>
      </c>
      <c r="H99" s="1364" t="e">
        <f t="shared" si="29"/>
        <v>#VALUE!</v>
      </c>
      <c r="I99" s="1364" t="e">
        <f t="shared" si="30"/>
        <v>#VALUE!</v>
      </c>
      <c r="J99" s="1364" t="e">
        <f t="shared" si="31"/>
        <v>#VALUE!</v>
      </c>
      <c r="K99" s="1364" t="e">
        <f t="shared" si="32"/>
        <v>#VALUE!</v>
      </c>
      <c r="L99" s="1364" t="e">
        <f t="shared" si="33"/>
        <v>#VALUE!</v>
      </c>
      <c r="M99" s="1364" t="e">
        <f t="shared" si="34"/>
        <v>#VALUE!</v>
      </c>
      <c r="N99" s="13" t="e">
        <f t="shared" si="37"/>
        <v>#VALUE!</v>
      </c>
      <c r="O99" s="13" t="e">
        <f t="shared" si="37"/>
        <v>#VALUE!</v>
      </c>
      <c r="P99" s="13" t="e">
        <f t="shared" si="37"/>
        <v>#VALUE!</v>
      </c>
      <c r="Q99" s="13" t="e">
        <f t="shared" si="37"/>
        <v>#VALUE!</v>
      </c>
      <c r="R99" s="13" t="e">
        <f t="shared" si="37"/>
        <v>#VALUE!</v>
      </c>
      <c r="S99" s="13" t="e">
        <f t="shared" si="37"/>
        <v>#VALUE!</v>
      </c>
      <c r="U99" s="13" t="str">
        <f t="shared" si="23"/>
        <v/>
      </c>
      <c r="V99" s="13" t="str">
        <f t="shared" si="24"/>
        <v/>
      </c>
      <c r="W99" s="13" t="e">
        <f t="shared" si="36"/>
        <v>#VALUE!</v>
      </c>
    </row>
    <row r="100" spans="1:23" x14ac:dyDescent="0.25">
      <c r="A100" s="1363">
        <v>0.96</v>
      </c>
      <c r="B100" s="13">
        <f t="shared" si="25"/>
        <v>0</v>
      </c>
      <c r="C100" s="1364">
        <f t="shared" si="22"/>
        <v>0</v>
      </c>
      <c r="D100" s="1431" t="e">
        <f>B100*'Рейтинг МКД'!$D$11+'кривые-экспресс'!C100+IF('Рейтинг МКД'!$D$15="нет",7,10)</f>
        <v>#VALUE!</v>
      </c>
      <c r="E100" s="1431" t="e">
        <f t="shared" si="26"/>
        <v>#VALUE!</v>
      </c>
      <c r="F100" s="1364" t="e">
        <f t="shared" si="27"/>
        <v>#VALUE!</v>
      </c>
      <c r="G100" s="1364" t="e">
        <f t="shared" si="28"/>
        <v>#VALUE!</v>
      </c>
      <c r="H100" s="1364" t="e">
        <f t="shared" si="29"/>
        <v>#VALUE!</v>
      </c>
      <c r="I100" s="1364" t="e">
        <f t="shared" si="30"/>
        <v>#VALUE!</v>
      </c>
      <c r="J100" s="1364" t="e">
        <f t="shared" si="31"/>
        <v>#VALUE!</v>
      </c>
      <c r="K100" s="1364" t="e">
        <f t="shared" si="32"/>
        <v>#VALUE!</v>
      </c>
      <c r="L100" s="1364" t="e">
        <f t="shared" si="33"/>
        <v>#VALUE!</v>
      </c>
      <c r="M100" s="1364" t="e">
        <f t="shared" si="34"/>
        <v>#VALUE!</v>
      </c>
      <c r="N100" s="13" t="e">
        <f t="shared" si="37"/>
        <v>#VALUE!</v>
      </c>
      <c r="O100" s="13" t="e">
        <f t="shared" si="37"/>
        <v>#VALUE!</v>
      </c>
      <c r="P100" s="13" t="e">
        <f t="shared" si="37"/>
        <v>#VALUE!</v>
      </c>
      <c r="Q100" s="13" t="e">
        <f t="shared" si="37"/>
        <v>#VALUE!</v>
      </c>
      <c r="R100" s="13" t="e">
        <f t="shared" si="37"/>
        <v>#VALUE!</v>
      </c>
      <c r="S100" s="13" t="e">
        <f t="shared" si="37"/>
        <v>#VALUE!</v>
      </c>
      <c r="U100" s="13" t="str">
        <f t="shared" si="23"/>
        <v/>
      </c>
      <c r="V100" s="13" t="str">
        <f t="shared" si="24"/>
        <v/>
      </c>
      <c r="W100" s="13" t="e">
        <f t="shared" si="36"/>
        <v>#VALUE!</v>
      </c>
    </row>
    <row r="101" spans="1:23" x14ac:dyDescent="0.25">
      <c r="A101" s="1363">
        <v>0.97</v>
      </c>
      <c r="B101" s="13">
        <f t="shared" si="25"/>
        <v>0</v>
      </c>
      <c r="C101" s="1364">
        <f>$B$106*B309+$C$106*C309+$D$106*D309+$E$106*E309+$F$106*F309+$G$106*G309+$H$106*H309+$I$106*I309+$J$106*J309+$K$106*K309+$L$106*L309+$M$106*M309</f>
        <v>0</v>
      </c>
      <c r="D101" s="1431" t="e">
        <f>B101*'Рейтинг МКД'!$D$11+'кривые-экспресс'!C101+IF('Рейтинг МКД'!$D$15="нет",7,10)</f>
        <v>#VALUE!</v>
      </c>
      <c r="E101" s="1431" t="e">
        <f t="shared" si="26"/>
        <v>#VALUE!</v>
      </c>
      <c r="F101" s="1364" t="e">
        <f t="shared" si="27"/>
        <v>#VALUE!</v>
      </c>
      <c r="G101" s="1364" t="e">
        <f t="shared" si="28"/>
        <v>#VALUE!</v>
      </c>
      <c r="H101" s="1364" t="e">
        <f t="shared" si="29"/>
        <v>#VALUE!</v>
      </c>
      <c r="I101" s="1364" t="e">
        <f t="shared" si="30"/>
        <v>#VALUE!</v>
      </c>
      <c r="J101" s="1364" t="e">
        <f t="shared" si="31"/>
        <v>#VALUE!</v>
      </c>
      <c r="K101" s="1364" t="e">
        <f t="shared" si="32"/>
        <v>#VALUE!</v>
      </c>
      <c r="L101" s="1364" t="e">
        <f t="shared" si="33"/>
        <v>#VALUE!</v>
      </c>
      <c r="M101" s="1364" t="e">
        <f t="shared" si="34"/>
        <v>#VALUE!</v>
      </c>
      <c r="N101" s="13" t="e">
        <f t="shared" si="37"/>
        <v>#VALUE!</v>
      </c>
      <c r="O101" s="13" t="e">
        <f t="shared" si="37"/>
        <v>#VALUE!</v>
      </c>
      <c r="P101" s="13" t="e">
        <f t="shared" si="37"/>
        <v>#VALUE!</v>
      </c>
      <c r="Q101" s="13" t="e">
        <f t="shared" si="37"/>
        <v>#VALUE!</v>
      </c>
      <c r="R101" s="13" t="e">
        <f t="shared" si="37"/>
        <v>#VALUE!</v>
      </c>
      <c r="S101" s="13" t="e">
        <f t="shared" si="37"/>
        <v>#VALUE!</v>
      </c>
      <c r="U101" s="13" t="str">
        <f t="shared" si="23"/>
        <v/>
      </c>
      <c r="V101" s="13" t="str">
        <f t="shared" si="24"/>
        <v/>
      </c>
      <c r="W101" s="13" t="e">
        <f t="shared" si="36"/>
        <v>#VALUE!</v>
      </c>
    </row>
    <row r="102" spans="1:23" x14ac:dyDescent="0.25">
      <c r="A102" s="1363">
        <v>0.98</v>
      </c>
      <c r="B102" s="13">
        <f t="shared" si="25"/>
        <v>0</v>
      </c>
      <c r="C102" s="1364">
        <f>$B$106*B310+$C$106*C310+$D$106*D310+$E$106*E310+$F$106*F310+$G$106*G310+$H$106*H310+$I$106*I310+$J$106*J310+$K$106*K310+$L$106*L310+$M$106*M310</f>
        <v>0</v>
      </c>
      <c r="D102" s="1431" t="e">
        <f>B102*'Рейтинг МКД'!$D$11+'кривые-экспресс'!C102+IF('Рейтинг МКД'!$D$15="нет",7,10)</f>
        <v>#VALUE!</v>
      </c>
      <c r="E102" s="1431" t="e">
        <f t="shared" si="26"/>
        <v>#VALUE!</v>
      </c>
      <c r="F102" s="1364" t="e">
        <f t="shared" si="27"/>
        <v>#VALUE!</v>
      </c>
      <c r="G102" s="1364" t="e">
        <f t="shared" si="28"/>
        <v>#VALUE!</v>
      </c>
      <c r="H102" s="1364" t="e">
        <f t="shared" si="29"/>
        <v>#VALUE!</v>
      </c>
      <c r="I102" s="1364" t="e">
        <f t="shared" si="30"/>
        <v>#VALUE!</v>
      </c>
      <c r="J102" s="1364" t="e">
        <f t="shared" si="31"/>
        <v>#VALUE!</v>
      </c>
      <c r="K102" s="1364" t="e">
        <f t="shared" si="32"/>
        <v>#VALUE!</v>
      </c>
      <c r="L102" s="1364" t="e">
        <f t="shared" si="33"/>
        <v>#VALUE!</v>
      </c>
      <c r="M102" s="1364" t="e">
        <f t="shared" si="34"/>
        <v>#VALUE!</v>
      </c>
      <c r="N102" s="13" t="e">
        <f t="shared" si="37"/>
        <v>#VALUE!</v>
      </c>
      <c r="O102" s="13" t="e">
        <f t="shared" si="37"/>
        <v>#VALUE!</v>
      </c>
      <c r="P102" s="13" t="e">
        <f t="shared" si="37"/>
        <v>#VALUE!</v>
      </c>
      <c r="Q102" s="13" t="e">
        <f t="shared" si="37"/>
        <v>#VALUE!</v>
      </c>
      <c r="R102" s="13" t="e">
        <f t="shared" si="37"/>
        <v>#VALUE!</v>
      </c>
      <c r="S102" s="13" t="e">
        <f t="shared" si="37"/>
        <v>#VALUE!</v>
      </c>
      <c r="U102" s="13" t="str">
        <f t="shared" si="23"/>
        <v/>
      </c>
      <c r="V102" s="13" t="str">
        <f t="shared" si="24"/>
        <v/>
      </c>
      <c r="W102" s="13" t="e">
        <f t="shared" si="36"/>
        <v>#VALUE!</v>
      </c>
    </row>
    <row r="103" spans="1:23" x14ac:dyDescent="0.25">
      <c r="A103" s="1363">
        <v>0.99</v>
      </c>
      <c r="B103" s="13">
        <f t="shared" si="25"/>
        <v>0</v>
      </c>
      <c r="C103" s="1364">
        <f>$B$106*B311+$C$106*C311+$D$106*D311+$E$106*E311+$F$106*F311+$G$106*G311+$H$106*H311+$I$106*I311+$J$106*J311+$K$106*K311+$L$106*L311+$M$106*M311</f>
        <v>0</v>
      </c>
      <c r="D103" s="1431" t="e">
        <f>B103*'Рейтинг МКД'!$D$11+'кривые-экспресс'!C103+IF('Рейтинг МКД'!$D$15="нет",7,10)</f>
        <v>#VALUE!</v>
      </c>
      <c r="E103" s="1431" t="e">
        <f t="shared" si="26"/>
        <v>#VALUE!</v>
      </c>
      <c r="F103" s="1364" t="e">
        <f t="shared" si="27"/>
        <v>#VALUE!</v>
      </c>
      <c r="G103" s="1364" t="e">
        <f t="shared" si="28"/>
        <v>#VALUE!</v>
      </c>
      <c r="H103" s="1364" t="e">
        <f t="shared" si="29"/>
        <v>#VALUE!</v>
      </c>
      <c r="I103" s="1364" t="e">
        <f t="shared" si="30"/>
        <v>#VALUE!</v>
      </c>
      <c r="J103" s="1364" t="e">
        <f t="shared" si="31"/>
        <v>#VALUE!</v>
      </c>
      <c r="K103" s="1364" t="e">
        <f t="shared" si="32"/>
        <v>#VALUE!</v>
      </c>
      <c r="L103" s="1364" t="e">
        <f t="shared" si="33"/>
        <v>#VALUE!</v>
      </c>
      <c r="M103" s="1364" t="e">
        <f t="shared" si="34"/>
        <v>#VALUE!</v>
      </c>
      <c r="N103" s="13" t="e">
        <f t="shared" ref="N103:S104" si="38">N102</f>
        <v>#VALUE!</v>
      </c>
      <c r="O103" s="13" t="e">
        <f t="shared" si="38"/>
        <v>#VALUE!</v>
      </c>
      <c r="P103" s="13" t="e">
        <f t="shared" si="38"/>
        <v>#VALUE!</v>
      </c>
      <c r="Q103" s="13" t="e">
        <f t="shared" si="38"/>
        <v>#VALUE!</v>
      </c>
      <c r="R103" s="13" t="e">
        <f t="shared" si="38"/>
        <v>#VALUE!</v>
      </c>
      <c r="S103" s="13" t="e">
        <f t="shared" si="38"/>
        <v>#VALUE!</v>
      </c>
      <c r="U103" s="13" t="str">
        <f t="shared" si="23"/>
        <v/>
      </c>
      <c r="V103" s="13" t="str">
        <f t="shared" si="24"/>
        <v/>
      </c>
      <c r="W103" s="13" t="e">
        <f t="shared" si="36"/>
        <v>#VALUE!</v>
      </c>
    </row>
    <row r="104" spans="1:23" x14ac:dyDescent="0.25">
      <c r="A104" s="1363">
        <v>1</v>
      </c>
      <c r="B104" s="13">
        <f t="shared" si="25"/>
        <v>0</v>
      </c>
      <c r="C104" s="1364">
        <f>$B$106*B312+$C$106*C312+$D$106*D312+$E$106*E312+$F$106*F312+$G$106*G312+$H$106*H312+$I$106*I312+$J$106*J312+$K$106*K312+$L$106*L312+$M$106*M312</f>
        <v>0</v>
      </c>
      <c r="D104" s="1431" t="e">
        <f>B104*'Рейтинг МКД'!$D$11+'кривые-экспресс'!C104+IF('Рейтинг МКД'!$D$15="нет",7,10)</f>
        <v>#VALUE!</v>
      </c>
      <c r="E104" s="1431" t="e">
        <f t="shared" si="26"/>
        <v>#VALUE!</v>
      </c>
      <c r="F104" s="1364" t="e">
        <f t="shared" si="27"/>
        <v>#VALUE!</v>
      </c>
      <c r="G104" s="1364" t="e">
        <f t="shared" si="28"/>
        <v>#VALUE!</v>
      </c>
      <c r="H104" s="1364" t="e">
        <f t="shared" si="29"/>
        <v>#VALUE!</v>
      </c>
      <c r="I104" s="1364" t="e">
        <f t="shared" si="30"/>
        <v>#VALUE!</v>
      </c>
      <c r="J104" s="1364" t="e">
        <f t="shared" si="31"/>
        <v>#VALUE!</v>
      </c>
      <c r="K104" s="1364" t="e">
        <f t="shared" si="32"/>
        <v>#VALUE!</v>
      </c>
      <c r="L104" s="1364" t="e">
        <f t="shared" si="33"/>
        <v>#VALUE!</v>
      </c>
      <c r="M104" s="1364" t="e">
        <f t="shared" si="34"/>
        <v>#VALUE!</v>
      </c>
      <c r="N104" s="13" t="e">
        <f t="shared" si="38"/>
        <v>#VALUE!</v>
      </c>
      <c r="O104" s="13" t="e">
        <f t="shared" si="38"/>
        <v>#VALUE!</v>
      </c>
      <c r="P104" s="13" t="e">
        <f t="shared" si="38"/>
        <v>#VALUE!</v>
      </c>
      <c r="Q104" s="13" t="e">
        <f t="shared" si="38"/>
        <v>#VALUE!</v>
      </c>
      <c r="R104" s="13" t="e">
        <f t="shared" si="38"/>
        <v>#VALUE!</v>
      </c>
      <c r="S104" s="13" t="e">
        <f t="shared" si="38"/>
        <v>#VALUE!</v>
      </c>
      <c r="U104" s="13">
        <f>IF(AND($U$3&gt;=B104),$U$3,"")</f>
        <v>0</v>
      </c>
      <c r="V104" s="13">
        <f>IF(AND($V$3&gt;=C104),$V$3,"")</f>
        <v>0</v>
      </c>
      <c r="W104" s="13" t="e">
        <f>IF(AND($W$3&gt;=SUM(E104:M104)),$W$3,"")</f>
        <v>#VALUE!</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366">
        <f>IF(AND('Рейтинг МКД'!$D$13&gt;=7,'Рейтинг МКД'!$D$13&lt;=8,'Рейтинг МКД'!$D$12&gt;1999),1,0)</f>
        <v>0</v>
      </c>
      <c r="J106" s="13">
        <f>IF(AND('Рейтинг МКД'!$D$13&gt;=9,'Рейтинг МКД'!$D$13&lt;=10,'Рейтинг МКД'!$D$12&lt;=1999),1,0)</f>
        <v>0</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981</v>
      </c>
      <c r="B107" s="13" t="s">
        <v>1842</v>
      </c>
      <c r="C107" s="13" t="s">
        <v>1843</v>
      </c>
      <c r="D107" s="13" t="s">
        <v>1844</v>
      </c>
      <c r="E107" s="13" t="s">
        <v>1845</v>
      </c>
      <c r="F107" s="13" t="s">
        <v>1846</v>
      </c>
      <c r="G107" s="13" t="s">
        <v>1847</v>
      </c>
      <c r="H107" s="13" t="s">
        <v>1848</v>
      </c>
      <c r="I107" s="1366" t="s">
        <v>1849</v>
      </c>
      <c r="J107" s="13" t="s">
        <v>1850</v>
      </c>
      <c r="K107" s="13" t="s">
        <v>1851</v>
      </c>
      <c r="L107" s="13" t="s">
        <v>1852</v>
      </c>
      <c r="M107" s="13" t="s">
        <v>1853</v>
      </c>
    </row>
    <row r="108" spans="1:23" x14ac:dyDescent="0.25">
      <c r="A108" s="1365">
        <v>0</v>
      </c>
      <c r="B108" s="13">
        <v>1.2518611009768933E-2</v>
      </c>
      <c r="C108" s="13">
        <v>1.4047915768288561E-2</v>
      </c>
      <c r="D108" s="13">
        <v>1.2E-2</v>
      </c>
      <c r="E108" s="13">
        <v>1.2999999999999999E-2</v>
      </c>
      <c r="F108" s="13">
        <v>1.12E-2</v>
      </c>
      <c r="G108" s="13">
        <v>0.01</v>
      </c>
      <c r="H108" s="13">
        <v>1.26E-2</v>
      </c>
      <c r="I108" s="1366">
        <v>8.9999999999999993E-3</v>
      </c>
      <c r="J108" s="13">
        <v>0.01</v>
      </c>
      <c r="K108" s="13">
        <v>0.01</v>
      </c>
      <c r="L108" s="13">
        <v>9.4099272569436107E-3</v>
      </c>
      <c r="M108" s="13">
        <v>0.01</v>
      </c>
    </row>
    <row r="109" spans="1:23" x14ac:dyDescent="0.25">
      <c r="A109" s="1365">
        <v>0.01</v>
      </c>
      <c r="B109" s="13">
        <v>1.2518611009768933E-2</v>
      </c>
      <c r="C109" s="13">
        <v>1.6744486152101039E-2</v>
      </c>
      <c r="D109" s="13">
        <v>1.2999999999999999E-2</v>
      </c>
      <c r="E109" s="13">
        <v>1.4E-2</v>
      </c>
      <c r="F109" s="13">
        <v>1.4500000000000001E-2</v>
      </c>
      <c r="G109" s="13">
        <v>0.01</v>
      </c>
      <c r="H109" s="13">
        <v>1.3899999999999999E-2</v>
      </c>
      <c r="I109" s="1366">
        <v>1.0200000000000001E-2</v>
      </c>
      <c r="J109" s="13">
        <v>1.6E-2</v>
      </c>
      <c r="K109" s="13">
        <v>1.234662179741482E-2</v>
      </c>
      <c r="L109" s="13">
        <v>1.5409927256943611E-2</v>
      </c>
      <c r="M109" s="13">
        <v>1.6E-2</v>
      </c>
    </row>
    <row r="110" spans="1:23" x14ac:dyDescent="0.25">
      <c r="A110" s="1365">
        <v>0.02</v>
      </c>
      <c r="B110" s="13">
        <v>2.3730427195291521E-2</v>
      </c>
      <c r="C110" s="13">
        <v>1.7994539046042025E-2</v>
      </c>
      <c r="D110" s="13">
        <v>1.4E-2</v>
      </c>
      <c r="E110" s="13">
        <v>1.4999999999999999E-2</v>
      </c>
      <c r="F110" s="13">
        <v>1.7000000000000001E-2</v>
      </c>
      <c r="G110" s="13">
        <v>1.0999999999999999E-2</v>
      </c>
      <c r="H110" s="13">
        <v>1.6400000000000001E-2</v>
      </c>
      <c r="I110" s="1366">
        <v>1.0999999999999999E-2</v>
      </c>
      <c r="J110" s="13">
        <v>1.7000000000000001E-2</v>
      </c>
      <c r="K110" s="13">
        <v>1.325700504526809E-2</v>
      </c>
      <c r="L110" s="13">
        <v>1.7027405640847443E-2</v>
      </c>
      <c r="M110" s="13">
        <v>1.6E-2</v>
      </c>
    </row>
    <row r="111" spans="1:23" x14ac:dyDescent="0.25">
      <c r="A111" s="1365">
        <v>0.03</v>
      </c>
      <c r="B111" s="13">
        <v>2.8207780011331618E-2</v>
      </c>
      <c r="C111" s="13">
        <v>1.8587151483553447E-2</v>
      </c>
      <c r="D111" s="13">
        <v>1.6E-2</v>
      </c>
      <c r="E111" s="13">
        <v>1.4999999999999999E-2</v>
      </c>
      <c r="F111" s="13">
        <v>1.8499999999999999E-2</v>
      </c>
      <c r="G111" s="13">
        <v>1.0999999999999999E-2</v>
      </c>
      <c r="H111" s="13">
        <v>1.8499999999999999E-2</v>
      </c>
      <c r="I111" s="1366">
        <v>1.23E-2</v>
      </c>
      <c r="J111" s="13">
        <v>1.7999999999999999E-2</v>
      </c>
      <c r="K111" s="13">
        <v>1.4052958120005163E-2</v>
      </c>
      <c r="L111" s="13">
        <v>2.0340342096888515E-2</v>
      </c>
      <c r="M111" s="13">
        <v>2.1999999999999999E-2</v>
      </c>
    </row>
    <row r="112" spans="1:23" x14ac:dyDescent="0.25">
      <c r="A112" s="1365">
        <v>0.04</v>
      </c>
      <c r="B112" s="13">
        <v>3.1315578974189691E-2</v>
      </c>
      <c r="C112" s="13">
        <v>1.9213086603724425E-2</v>
      </c>
      <c r="D112" s="13">
        <v>1.7999999999999999E-2</v>
      </c>
      <c r="E112" s="13">
        <v>1.6E-2</v>
      </c>
      <c r="F112" s="13">
        <v>2.0199999999999999E-2</v>
      </c>
      <c r="G112" s="13">
        <v>1.2999999999999999E-2</v>
      </c>
      <c r="H112" s="13">
        <v>1.9800000000000002E-2</v>
      </c>
      <c r="I112" s="1366">
        <v>1.38E-2</v>
      </c>
      <c r="J112" s="13">
        <v>1.9E-2</v>
      </c>
      <c r="K112" s="13">
        <v>1.4822130137515242E-2</v>
      </c>
      <c r="L112" s="13">
        <v>2.3647531042765228E-2</v>
      </c>
      <c r="M112" s="13">
        <v>2.1999999999999999E-2</v>
      </c>
    </row>
    <row r="113" spans="1:13" x14ac:dyDescent="0.25">
      <c r="A113" s="1365">
        <v>0.05</v>
      </c>
      <c r="B113" s="13">
        <v>3.2711214641022224E-2</v>
      </c>
      <c r="C113" s="13">
        <v>2.0551086509565587E-2</v>
      </c>
      <c r="D113" s="13">
        <v>0.02</v>
      </c>
      <c r="E113" s="13">
        <v>1.6E-2</v>
      </c>
      <c r="F113" s="13">
        <v>2.18E-2</v>
      </c>
      <c r="G113" s="13">
        <v>1.2999999999999999E-2</v>
      </c>
      <c r="H113" s="13">
        <v>2.0899999999999998E-2</v>
      </c>
      <c r="I113" s="1366">
        <v>1.5100000000000001E-2</v>
      </c>
      <c r="J113" s="13">
        <v>2.1000000000000001E-2</v>
      </c>
      <c r="K113" s="13">
        <v>1.5620551011048823E-2</v>
      </c>
      <c r="L113" s="13">
        <v>2.405787392088762E-2</v>
      </c>
      <c r="M113" s="13">
        <v>2.5000000000000001E-2</v>
      </c>
    </row>
    <row r="114" spans="1:13" x14ac:dyDescent="0.25">
      <c r="A114" s="1365">
        <v>0.06</v>
      </c>
      <c r="B114" s="13">
        <v>3.4561155794208036E-2</v>
      </c>
      <c r="C114" s="13">
        <v>2.0892659679225895E-2</v>
      </c>
      <c r="D114" s="13">
        <v>2.1999999999999999E-2</v>
      </c>
      <c r="E114" s="13">
        <v>1.7000000000000001E-2</v>
      </c>
      <c r="F114" s="13">
        <v>2.3300000000000001E-2</v>
      </c>
      <c r="G114" s="13">
        <v>1.4999999999999999E-2</v>
      </c>
      <c r="H114" s="13">
        <v>2.1899999999999999E-2</v>
      </c>
      <c r="I114" s="1366">
        <v>1.5699999999999999E-2</v>
      </c>
      <c r="J114" s="13">
        <v>2.1999999999999999E-2</v>
      </c>
      <c r="K114" s="13">
        <v>1.6369951330399042E-2</v>
      </c>
      <c r="L114" s="13">
        <v>2.5870648308864937E-2</v>
      </c>
      <c r="M114" s="13">
        <v>2.5000000000000001E-2</v>
      </c>
    </row>
    <row r="115" spans="1:13" x14ac:dyDescent="0.25">
      <c r="A115" s="1365">
        <v>7.0000000000000007E-2</v>
      </c>
      <c r="B115" s="13">
        <v>3.6167907269765195E-2</v>
      </c>
      <c r="C115" s="13">
        <v>2.1852629067088892E-2</v>
      </c>
      <c r="D115" s="13">
        <v>2.3E-2</v>
      </c>
      <c r="E115" s="13">
        <v>1.7999999999999999E-2</v>
      </c>
      <c r="F115" s="13">
        <v>2.46E-2</v>
      </c>
      <c r="G115" s="13">
        <v>1.4999999999999999E-2</v>
      </c>
      <c r="H115" s="13">
        <v>2.29E-2</v>
      </c>
      <c r="I115" s="1366">
        <v>1.6199999999999999E-2</v>
      </c>
      <c r="J115" s="13">
        <v>2.1999999999999999E-2</v>
      </c>
      <c r="K115" s="13">
        <v>1.6811995848327547E-2</v>
      </c>
      <c r="L115" s="13">
        <v>2.7492432232979699E-2</v>
      </c>
      <c r="M115" s="13">
        <v>2.8000000000000001E-2</v>
      </c>
    </row>
    <row r="116" spans="1:13" x14ac:dyDescent="0.25">
      <c r="A116" s="1365">
        <v>0.08</v>
      </c>
      <c r="B116" s="13">
        <v>3.8090889275272773E-2</v>
      </c>
      <c r="C116" s="13">
        <v>2.3368432058205598E-2</v>
      </c>
      <c r="D116" s="13">
        <v>2.5000000000000001E-2</v>
      </c>
      <c r="E116" s="13">
        <v>1.7999999999999999E-2</v>
      </c>
      <c r="F116" s="13">
        <v>2.5600000000000001E-2</v>
      </c>
      <c r="G116" s="13">
        <v>1.6E-2</v>
      </c>
      <c r="H116" s="13">
        <v>2.3400000000000001E-2</v>
      </c>
      <c r="I116" s="1366">
        <v>1.66E-2</v>
      </c>
      <c r="J116" s="13">
        <v>2.5999999999999999E-2</v>
      </c>
      <c r="K116" s="13">
        <v>1.7752587690267739E-2</v>
      </c>
      <c r="L116" s="13">
        <v>3.0312879599075297E-2</v>
      </c>
      <c r="M116" s="13">
        <v>2.8000000000000001E-2</v>
      </c>
    </row>
    <row r="117" spans="1:13" x14ac:dyDescent="0.25">
      <c r="A117" s="1365">
        <v>0.09</v>
      </c>
      <c r="B117" s="13">
        <v>3.8998525963169502E-2</v>
      </c>
      <c r="C117" s="13">
        <v>2.414475391002224E-2</v>
      </c>
      <c r="D117" s="13">
        <v>2.5999999999999999E-2</v>
      </c>
      <c r="E117" s="13">
        <v>1.7999999999999999E-2</v>
      </c>
      <c r="F117" s="13">
        <v>2.64E-2</v>
      </c>
      <c r="G117" s="13">
        <v>1.6E-2</v>
      </c>
      <c r="H117" s="13">
        <v>2.3800000000000002E-2</v>
      </c>
      <c r="I117" s="1366">
        <v>1.7000000000000001E-2</v>
      </c>
      <c r="J117" s="13">
        <v>2.5999999999999999E-2</v>
      </c>
      <c r="K117" s="13">
        <v>1.8266019851654793E-2</v>
      </c>
      <c r="L117" s="13">
        <v>3.0872565525811201E-2</v>
      </c>
      <c r="M117" s="13">
        <v>3.1E-2</v>
      </c>
    </row>
    <row r="118" spans="1:13" x14ac:dyDescent="0.25">
      <c r="A118" s="1365">
        <v>0.1</v>
      </c>
      <c r="B118" s="13">
        <v>4.0586187952889118E-2</v>
      </c>
      <c r="C118" s="13">
        <v>2.4522761015102632E-2</v>
      </c>
      <c r="D118" s="13">
        <v>2.7E-2</v>
      </c>
      <c r="E118" s="13">
        <v>1.9E-2</v>
      </c>
      <c r="F118" s="13">
        <v>2.7199999999999998E-2</v>
      </c>
      <c r="G118" s="13">
        <v>1.7000000000000001E-2</v>
      </c>
      <c r="H118" s="13">
        <v>2.4400000000000002E-2</v>
      </c>
      <c r="I118" s="1366">
        <v>1.7600000000000001E-2</v>
      </c>
      <c r="J118" s="13">
        <v>2.8000000000000001E-2</v>
      </c>
      <c r="K118" s="13">
        <v>1.8916997917546977E-2</v>
      </c>
      <c r="L118" s="13">
        <v>3.1251241226264839E-2</v>
      </c>
      <c r="M118" s="13">
        <v>3.1E-2</v>
      </c>
    </row>
    <row r="119" spans="1:13" x14ac:dyDescent="0.25">
      <c r="A119" s="1365">
        <v>0.11</v>
      </c>
      <c r="B119" s="13">
        <v>4.1791698663043698E-2</v>
      </c>
      <c r="C119" s="13">
        <v>2.5342519185278203E-2</v>
      </c>
      <c r="D119" s="13">
        <v>2.7E-2</v>
      </c>
      <c r="E119" s="13">
        <v>0.02</v>
      </c>
      <c r="F119" s="13">
        <v>2.8000000000000001E-2</v>
      </c>
      <c r="G119" s="13">
        <v>1.7000000000000001E-2</v>
      </c>
      <c r="H119" s="13">
        <v>2.4799999999999999E-2</v>
      </c>
      <c r="I119" s="1366">
        <v>1.7999999999999999E-2</v>
      </c>
      <c r="J119" s="13">
        <v>2.8000000000000001E-2</v>
      </c>
      <c r="K119" s="13">
        <v>1.9442595570374196E-2</v>
      </c>
      <c r="L119" s="13">
        <v>3.19958476783061E-2</v>
      </c>
      <c r="M119" s="13">
        <v>3.3000000000000002E-2</v>
      </c>
    </row>
    <row r="120" spans="1:13" x14ac:dyDescent="0.25">
      <c r="A120" s="1365">
        <v>0.12</v>
      </c>
      <c r="B120" s="13">
        <v>4.2662232746286007E-2</v>
      </c>
      <c r="C120" s="13">
        <v>2.5704335669128019E-2</v>
      </c>
      <c r="D120" s="13">
        <v>2.8000000000000001E-2</v>
      </c>
      <c r="E120" s="13">
        <v>0.02</v>
      </c>
      <c r="F120" s="13">
        <v>2.87E-2</v>
      </c>
      <c r="G120" s="13">
        <v>1.7999999999999999E-2</v>
      </c>
      <c r="H120" s="13">
        <v>2.53E-2</v>
      </c>
      <c r="I120" s="1366">
        <v>1.8599999999999998E-2</v>
      </c>
      <c r="J120" s="13">
        <v>2.9000000000000001E-2</v>
      </c>
      <c r="K120" s="13">
        <v>1.9817689612917907E-2</v>
      </c>
      <c r="L120" s="13">
        <v>3.2728869587910381E-2</v>
      </c>
      <c r="M120" s="13">
        <v>3.3000000000000002E-2</v>
      </c>
    </row>
    <row r="121" spans="1:13" x14ac:dyDescent="0.25">
      <c r="A121" s="1365">
        <v>0.13</v>
      </c>
      <c r="B121" s="13">
        <v>4.3718239170003691E-2</v>
      </c>
      <c r="C121" s="13">
        <v>2.6228852246727122E-2</v>
      </c>
      <c r="D121" s="13">
        <v>2.9000000000000001E-2</v>
      </c>
      <c r="E121" s="13">
        <v>2.1000000000000001E-2</v>
      </c>
      <c r="F121" s="13">
        <v>2.92E-2</v>
      </c>
      <c r="G121" s="13">
        <v>1.7999999999999999E-2</v>
      </c>
      <c r="H121" s="13">
        <v>2.5700000000000001E-2</v>
      </c>
      <c r="I121" s="1366">
        <v>1.9300000000000001E-2</v>
      </c>
      <c r="J121" s="13">
        <v>2.9000000000000001E-2</v>
      </c>
      <c r="K121" s="13">
        <v>2.0378749311284718E-2</v>
      </c>
      <c r="L121" s="13">
        <v>3.3460169531503013E-2</v>
      </c>
      <c r="M121" s="13">
        <v>3.4000000000000002E-2</v>
      </c>
    </row>
    <row r="122" spans="1:13" x14ac:dyDescent="0.25">
      <c r="A122" s="1365">
        <v>0.14000000000000001</v>
      </c>
      <c r="B122" s="13">
        <v>4.427244871091375E-2</v>
      </c>
      <c r="C122" s="13">
        <v>2.6600713942119512E-2</v>
      </c>
      <c r="D122" s="13">
        <v>0.03</v>
      </c>
      <c r="E122" s="13">
        <v>2.1000000000000001E-2</v>
      </c>
      <c r="F122" s="13">
        <v>2.9700000000000001E-2</v>
      </c>
      <c r="G122" s="13">
        <v>1.9E-2</v>
      </c>
      <c r="H122" s="13">
        <v>2.6200000000000001E-2</v>
      </c>
      <c r="I122" s="1366">
        <v>1.9800000000000002E-2</v>
      </c>
      <c r="J122" s="13">
        <v>3.1E-2</v>
      </c>
      <c r="K122" s="13">
        <v>2.1028110096437319E-2</v>
      </c>
      <c r="L122" s="13">
        <v>3.3866357879394404E-2</v>
      </c>
      <c r="M122" s="13">
        <v>3.4000000000000002E-2</v>
      </c>
    </row>
    <row r="123" spans="1:13" x14ac:dyDescent="0.25">
      <c r="A123" s="1365">
        <v>0.15</v>
      </c>
      <c r="B123" s="13">
        <v>4.4802375688124028E-2</v>
      </c>
      <c r="C123" s="13">
        <v>2.6726429576302866E-2</v>
      </c>
      <c r="D123" s="13">
        <v>3.1E-2</v>
      </c>
      <c r="E123" s="13">
        <v>2.1000000000000001E-2</v>
      </c>
      <c r="F123" s="13">
        <v>3.0099999999999998E-2</v>
      </c>
      <c r="G123" s="13">
        <v>1.9E-2</v>
      </c>
      <c r="H123" s="13">
        <v>2.6700000000000002E-2</v>
      </c>
      <c r="I123" s="1366">
        <v>2.0299999999999999E-2</v>
      </c>
      <c r="J123" s="13">
        <v>3.1E-2</v>
      </c>
      <c r="K123" s="13">
        <v>2.1399775730222333E-2</v>
      </c>
      <c r="L123" s="13">
        <v>3.4428427215100178E-2</v>
      </c>
      <c r="M123" s="13">
        <v>3.5000000000000003E-2</v>
      </c>
    </row>
    <row r="124" spans="1:13" x14ac:dyDescent="0.25">
      <c r="A124" s="1365">
        <v>0.16</v>
      </c>
      <c r="B124" s="13">
        <v>4.5009215790145864E-2</v>
      </c>
      <c r="C124" s="13">
        <v>2.7027709470229623E-2</v>
      </c>
      <c r="D124" s="13">
        <v>3.1E-2</v>
      </c>
      <c r="E124" s="13">
        <v>2.1999999999999999E-2</v>
      </c>
      <c r="F124" s="13">
        <v>3.0599999999999999E-2</v>
      </c>
      <c r="G124" s="13">
        <v>2.1000000000000001E-2</v>
      </c>
      <c r="H124" s="13">
        <v>2.7199999999999998E-2</v>
      </c>
      <c r="I124" s="1366">
        <v>2.07E-2</v>
      </c>
      <c r="J124" s="13">
        <v>3.2000000000000001E-2</v>
      </c>
      <c r="K124" s="13">
        <v>2.185637915131429E-2</v>
      </c>
      <c r="L124" s="13">
        <v>3.4605575642488062E-2</v>
      </c>
      <c r="M124" s="13">
        <v>3.5000000000000003E-2</v>
      </c>
    </row>
    <row r="125" spans="1:13" x14ac:dyDescent="0.25">
      <c r="A125" s="1365">
        <v>0.17</v>
      </c>
      <c r="B125" s="13">
        <v>4.5082021272042402E-2</v>
      </c>
      <c r="C125" s="13">
        <v>2.7665747119575829E-2</v>
      </c>
      <c r="D125" s="13">
        <v>3.2000000000000001E-2</v>
      </c>
      <c r="E125" s="13">
        <v>2.1999999999999999E-2</v>
      </c>
      <c r="F125" s="13">
        <v>3.1E-2</v>
      </c>
      <c r="G125" s="13">
        <v>2.1000000000000001E-2</v>
      </c>
      <c r="H125" s="13">
        <v>2.76E-2</v>
      </c>
      <c r="I125" s="1366">
        <v>2.1100000000000001E-2</v>
      </c>
      <c r="J125" s="13">
        <v>3.2000000000000001E-2</v>
      </c>
      <c r="K125" s="13">
        <v>2.1984020671084049E-2</v>
      </c>
      <c r="L125" s="13">
        <v>3.4817425366653887E-2</v>
      </c>
      <c r="M125" s="13">
        <v>3.5999999999999997E-2</v>
      </c>
    </row>
    <row r="126" spans="1:13" x14ac:dyDescent="0.25">
      <c r="A126" s="1365">
        <v>0.18</v>
      </c>
      <c r="B126" s="13">
        <v>4.5168756818054739E-2</v>
      </c>
      <c r="C126" s="13">
        <v>2.8204982049412859E-2</v>
      </c>
      <c r="D126" s="13">
        <v>3.2000000000000001E-2</v>
      </c>
      <c r="E126" s="13">
        <v>2.1999999999999999E-2</v>
      </c>
      <c r="F126" s="13">
        <v>3.15E-2</v>
      </c>
      <c r="G126" s="13">
        <v>2.1999999999999999E-2</v>
      </c>
      <c r="H126" s="13">
        <v>2.8199999999999999E-2</v>
      </c>
      <c r="I126" s="1366">
        <v>2.1499999999999998E-2</v>
      </c>
      <c r="J126" s="13">
        <v>3.3000000000000002E-2</v>
      </c>
      <c r="K126" s="13">
        <v>2.2460605852421271E-2</v>
      </c>
      <c r="L126" s="13">
        <v>3.6471213550236498E-2</v>
      </c>
      <c r="M126" s="13">
        <v>3.5999999999999997E-2</v>
      </c>
    </row>
    <row r="127" spans="1:13" x14ac:dyDescent="0.25">
      <c r="A127" s="1365">
        <v>0.19</v>
      </c>
      <c r="B127" s="13">
        <v>4.5617682523408448E-2</v>
      </c>
      <c r="C127" s="13">
        <v>2.8637196297272637E-2</v>
      </c>
      <c r="D127" s="13">
        <v>3.3000000000000002E-2</v>
      </c>
      <c r="E127" s="13">
        <v>2.3E-2</v>
      </c>
      <c r="F127" s="13">
        <v>3.1899999999999998E-2</v>
      </c>
      <c r="G127" s="13">
        <v>2.1999999999999999E-2</v>
      </c>
      <c r="H127" s="13">
        <v>2.8500000000000001E-2</v>
      </c>
      <c r="I127" s="1366">
        <v>2.1700000000000001E-2</v>
      </c>
      <c r="J127" s="13">
        <v>3.3000000000000002E-2</v>
      </c>
      <c r="K127" s="13">
        <v>2.2838194022122699E-2</v>
      </c>
      <c r="L127" s="13">
        <v>3.6728572993301969E-2</v>
      </c>
      <c r="M127" s="13">
        <v>3.6999999999999998E-2</v>
      </c>
    </row>
    <row r="128" spans="1:13" x14ac:dyDescent="0.25">
      <c r="A128" s="1365">
        <v>0.2</v>
      </c>
      <c r="B128" s="13">
        <v>4.6517433520909195E-2</v>
      </c>
      <c r="C128" s="13">
        <v>2.9059986982400851E-2</v>
      </c>
      <c r="D128" s="13">
        <v>3.3000000000000002E-2</v>
      </c>
      <c r="E128" s="13">
        <v>2.3E-2</v>
      </c>
      <c r="F128" s="13">
        <v>3.2300000000000002E-2</v>
      </c>
      <c r="G128" s="13">
        <v>2.3E-2</v>
      </c>
      <c r="H128" s="13">
        <v>2.8899999999999999E-2</v>
      </c>
      <c r="I128" s="1366">
        <v>2.1999999999999999E-2</v>
      </c>
      <c r="J128" s="13">
        <v>3.4000000000000002E-2</v>
      </c>
      <c r="K128" s="13">
        <v>2.3024044755924799E-2</v>
      </c>
      <c r="L128" s="13">
        <v>3.7221276778921654E-2</v>
      </c>
      <c r="M128" s="13">
        <v>3.6999999999999998E-2</v>
      </c>
    </row>
    <row r="129" spans="1:13" x14ac:dyDescent="0.25">
      <c r="A129" s="1365">
        <v>0.21</v>
      </c>
      <c r="B129" s="13">
        <v>4.7426905508617466E-2</v>
      </c>
      <c r="C129" s="13">
        <v>2.9390290978797352E-2</v>
      </c>
      <c r="D129" s="13">
        <v>3.4000000000000002E-2</v>
      </c>
      <c r="E129" s="13">
        <v>2.3E-2</v>
      </c>
      <c r="F129" s="13">
        <v>3.2800000000000003E-2</v>
      </c>
      <c r="G129" s="13">
        <v>2.3E-2</v>
      </c>
      <c r="H129" s="13">
        <v>2.92E-2</v>
      </c>
      <c r="I129" s="1366">
        <v>2.24E-2</v>
      </c>
      <c r="J129" s="13">
        <v>3.4000000000000002E-2</v>
      </c>
      <c r="K129" s="13">
        <v>2.337339301438951E-2</v>
      </c>
      <c r="L129" s="13">
        <v>3.7629890684089271E-2</v>
      </c>
      <c r="M129" s="13">
        <v>3.7999999999999999E-2</v>
      </c>
    </row>
    <row r="130" spans="1:13" x14ac:dyDescent="0.25">
      <c r="A130" s="1365">
        <v>0.22</v>
      </c>
      <c r="B130" s="13">
        <v>4.8355801953879153E-2</v>
      </c>
      <c r="C130" s="13">
        <v>2.9672242497434925E-2</v>
      </c>
      <c r="D130" s="13">
        <v>3.4000000000000002E-2</v>
      </c>
      <c r="E130" s="13">
        <v>2.4E-2</v>
      </c>
      <c r="F130" s="13">
        <v>3.32E-2</v>
      </c>
      <c r="G130" s="13">
        <v>2.3E-2</v>
      </c>
      <c r="H130" s="13">
        <v>2.9499999999999998E-2</v>
      </c>
      <c r="I130" s="1366">
        <v>2.3099999999999999E-2</v>
      </c>
      <c r="J130" s="13">
        <v>3.4000000000000002E-2</v>
      </c>
      <c r="K130" s="13">
        <v>2.3784054794430177E-2</v>
      </c>
      <c r="L130" s="13">
        <v>3.8222424475728732E-2</v>
      </c>
      <c r="M130" s="13">
        <v>3.7999999999999999E-2</v>
      </c>
    </row>
    <row r="131" spans="1:13" x14ac:dyDescent="0.25">
      <c r="A131" s="1365">
        <v>0.23</v>
      </c>
      <c r="B131" s="13">
        <v>4.916526721425931E-2</v>
      </c>
      <c r="C131" s="13">
        <v>3.0039662349583936E-2</v>
      </c>
      <c r="D131" s="13">
        <v>3.5000000000000003E-2</v>
      </c>
      <c r="E131" s="13">
        <v>2.4E-2</v>
      </c>
      <c r="F131" s="13">
        <v>3.3599999999999998E-2</v>
      </c>
      <c r="G131" s="13">
        <v>2.3E-2</v>
      </c>
      <c r="H131" s="13">
        <v>2.98E-2</v>
      </c>
      <c r="I131" s="1366">
        <v>2.3400000000000001E-2</v>
      </c>
      <c r="J131" s="13">
        <v>3.4000000000000002E-2</v>
      </c>
      <c r="K131" s="13">
        <v>2.4037690526315283E-2</v>
      </c>
      <c r="L131" s="13">
        <v>3.856076114365764E-2</v>
      </c>
      <c r="M131" s="13">
        <v>3.9E-2</v>
      </c>
    </row>
    <row r="132" spans="1:13" x14ac:dyDescent="0.25">
      <c r="A132" s="1365">
        <v>0.24</v>
      </c>
      <c r="B132" s="13">
        <v>4.9775640895176429E-2</v>
      </c>
      <c r="C132" s="13">
        <v>3.0650000425583503E-2</v>
      </c>
      <c r="D132" s="13">
        <v>3.5000000000000003E-2</v>
      </c>
      <c r="E132" s="13">
        <v>2.4E-2</v>
      </c>
      <c r="F132" s="13">
        <v>3.4000000000000002E-2</v>
      </c>
      <c r="G132" s="13">
        <v>2.4E-2</v>
      </c>
      <c r="H132" s="13">
        <v>3.0200000000000001E-2</v>
      </c>
      <c r="I132" s="1366">
        <v>2.3699999999999999E-2</v>
      </c>
      <c r="J132" s="13">
        <v>3.5000000000000003E-2</v>
      </c>
      <c r="K132" s="13">
        <v>2.4182719469181484E-2</v>
      </c>
      <c r="L132" s="13">
        <v>3.9184574821927352E-2</v>
      </c>
      <c r="M132" s="13">
        <v>3.9E-2</v>
      </c>
    </row>
    <row r="133" spans="1:13" x14ac:dyDescent="0.25">
      <c r="A133" s="1365">
        <v>0.25</v>
      </c>
      <c r="B133" s="13">
        <v>5.0381056759138482E-2</v>
      </c>
      <c r="C133" s="13">
        <v>3.0905306722958832E-2</v>
      </c>
      <c r="D133" s="13">
        <v>3.5999999999999997E-2</v>
      </c>
      <c r="E133" s="13">
        <v>2.4E-2</v>
      </c>
      <c r="F133" s="13">
        <v>3.4299999999999997E-2</v>
      </c>
      <c r="G133" s="13">
        <v>2.4E-2</v>
      </c>
      <c r="H133" s="13">
        <v>3.04E-2</v>
      </c>
      <c r="I133" s="1366">
        <v>2.4E-2</v>
      </c>
      <c r="J133" s="13">
        <v>3.5000000000000003E-2</v>
      </c>
      <c r="K133" s="13">
        <v>2.4523814168516386E-2</v>
      </c>
      <c r="L133" s="13">
        <v>3.92559701969964E-2</v>
      </c>
      <c r="M133" s="13">
        <v>0.04</v>
      </c>
    </row>
    <row r="134" spans="1:13" x14ac:dyDescent="0.25">
      <c r="A134" s="1365">
        <v>0.26</v>
      </c>
      <c r="B134" s="13">
        <v>5.0742570966739307E-2</v>
      </c>
      <c r="C134" s="13">
        <v>3.1147892105285794E-2</v>
      </c>
      <c r="D134" s="13">
        <v>3.5999999999999997E-2</v>
      </c>
      <c r="E134" s="13">
        <v>2.4E-2</v>
      </c>
      <c r="F134" s="13">
        <v>3.4599999999999999E-2</v>
      </c>
      <c r="G134" s="13">
        <v>2.5000000000000001E-2</v>
      </c>
      <c r="H134" s="13">
        <v>3.09E-2</v>
      </c>
      <c r="I134" s="1366">
        <v>2.4299999999999999E-2</v>
      </c>
      <c r="J134" s="13">
        <v>3.5999999999999997E-2</v>
      </c>
      <c r="K134" s="13">
        <v>2.47151846103488E-2</v>
      </c>
      <c r="L134" s="13">
        <v>3.9383862902457066E-2</v>
      </c>
      <c r="M134" s="13">
        <v>0.04</v>
      </c>
    </row>
    <row r="135" spans="1:13" x14ac:dyDescent="0.25">
      <c r="A135" s="1365">
        <v>0.27</v>
      </c>
      <c r="B135" s="13">
        <v>5.0909083930084274E-2</v>
      </c>
      <c r="C135" s="13">
        <v>3.1447122860292581E-2</v>
      </c>
      <c r="D135" s="13">
        <v>3.5999999999999997E-2</v>
      </c>
      <c r="E135" s="13">
        <v>2.5000000000000001E-2</v>
      </c>
      <c r="F135" s="13">
        <v>3.5000000000000003E-2</v>
      </c>
      <c r="G135" s="13">
        <v>2.5000000000000001E-2</v>
      </c>
      <c r="H135" s="13">
        <v>3.1300000000000001E-2</v>
      </c>
      <c r="I135" s="1366">
        <v>2.46E-2</v>
      </c>
      <c r="J135" s="13">
        <v>3.5999999999999997E-2</v>
      </c>
      <c r="K135" s="13">
        <v>2.4992289286376076E-2</v>
      </c>
      <c r="L135" s="13">
        <v>3.9910711445470134E-2</v>
      </c>
      <c r="M135" s="13">
        <v>0.04</v>
      </c>
    </row>
    <row r="136" spans="1:13" x14ac:dyDescent="0.25">
      <c r="A136" s="1365">
        <v>0.28000000000000003</v>
      </c>
      <c r="B136" s="13">
        <v>5.1135859202961181E-2</v>
      </c>
      <c r="C136" s="13">
        <v>3.1701796813415749E-2</v>
      </c>
      <c r="D136" s="13">
        <v>3.6999999999999998E-2</v>
      </c>
      <c r="E136" s="13">
        <v>2.5000000000000001E-2</v>
      </c>
      <c r="F136" s="13">
        <v>3.5299999999999998E-2</v>
      </c>
      <c r="G136" s="13">
        <v>2.5999999999999999E-2</v>
      </c>
      <c r="H136" s="13">
        <v>3.15E-2</v>
      </c>
      <c r="I136" s="1366">
        <v>2.47E-2</v>
      </c>
      <c r="J136" s="13">
        <v>3.6999999999999998E-2</v>
      </c>
      <c r="K136" s="13">
        <v>2.5202479244295823E-2</v>
      </c>
      <c r="L136" s="13">
        <v>4.0272033102540482E-2</v>
      </c>
      <c r="M136" s="13">
        <v>0.04</v>
      </c>
    </row>
    <row r="137" spans="1:13" x14ac:dyDescent="0.25">
      <c r="A137" s="1365">
        <v>0.28999999999999998</v>
      </c>
      <c r="B137" s="13">
        <v>5.153380456137354E-2</v>
      </c>
      <c r="C137" s="13">
        <v>3.2210461894634564E-2</v>
      </c>
      <c r="D137" s="13">
        <v>3.6999999999999998E-2</v>
      </c>
      <c r="E137" s="13">
        <v>2.5000000000000001E-2</v>
      </c>
      <c r="F137" s="13">
        <v>3.56E-2</v>
      </c>
      <c r="G137" s="13">
        <v>2.5999999999999999E-2</v>
      </c>
      <c r="H137" s="13">
        <v>3.1899999999999998E-2</v>
      </c>
      <c r="I137" s="1366">
        <v>2.5000000000000001E-2</v>
      </c>
      <c r="J137" s="13">
        <v>3.6999999999999998E-2</v>
      </c>
      <c r="K137" s="13">
        <v>2.5457737912973628E-2</v>
      </c>
      <c r="L137" s="13">
        <v>4.0402740134908702E-2</v>
      </c>
      <c r="M137" s="13">
        <v>4.1000000000000002E-2</v>
      </c>
    </row>
    <row r="138" spans="1:13" x14ac:dyDescent="0.25">
      <c r="A138" s="1365">
        <v>0.3</v>
      </c>
      <c r="B138" s="13">
        <v>5.1789172209903908E-2</v>
      </c>
      <c r="C138" s="13">
        <v>3.2586676169386014E-2</v>
      </c>
      <c r="D138" s="13">
        <v>3.6999999999999998E-2</v>
      </c>
      <c r="E138" s="13">
        <v>2.5999999999999999E-2</v>
      </c>
      <c r="F138" s="13">
        <v>3.5900000000000001E-2</v>
      </c>
      <c r="G138" s="13">
        <v>2.5999999999999999E-2</v>
      </c>
      <c r="H138" s="13">
        <v>3.2399999999999998E-2</v>
      </c>
      <c r="I138" s="1366">
        <v>2.5399999999999999E-2</v>
      </c>
      <c r="J138" s="13">
        <v>3.6999999999999998E-2</v>
      </c>
      <c r="K138" s="13">
        <v>2.5957346568731578E-2</v>
      </c>
      <c r="L138" s="13">
        <v>4.0605837544805186E-2</v>
      </c>
      <c r="M138" s="13">
        <v>4.1000000000000002E-2</v>
      </c>
    </row>
    <row r="139" spans="1:13" x14ac:dyDescent="0.25">
      <c r="A139" s="1365">
        <v>0.31</v>
      </c>
      <c r="B139" s="13">
        <v>5.2083811406984759E-2</v>
      </c>
      <c r="C139" s="13">
        <v>3.2853893033698331E-2</v>
      </c>
      <c r="D139" s="13">
        <v>3.7999999999999999E-2</v>
      </c>
      <c r="E139" s="13">
        <v>2.5999999999999999E-2</v>
      </c>
      <c r="F139" s="13">
        <v>3.6200000000000003E-2</v>
      </c>
      <c r="G139" s="13">
        <v>2.5999999999999999E-2</v>
      </c>
      <c r="H139" s="13">
        <v>3.27E-2</v>
      </c>
      <c r="I139" s="1366">
        <v>2.5700000000000001E-2</v>
      </c>
      <c r="J139" s="13">
        <v>3.6999999999999998E-2</v>
      </c>
      <c r="K139" s="13">
        <v>2.6246949567622781E-2</v>
      </c>
      <c r="L139" s="13">
        <v>4.0760910563487573E-2</v>
      </c>
      <c r="M139" s="13">
        <v>4.1000000000000002E-2</v>
      </c>
    </row>
    <row r="140" spans="1:13" x14ac:dyDescent="0.25">
      <c r="A140" s="1365">
        <v>0.32</v>
      </c>
      <c r="B140" s="13">
        <v>5.2555871911190287E-2</v>
      </c>
      <c r="C140" s="13">
        <v>3.3778225822532461E-2</v>
      </c>
      <c r="D140" s="13">
        <v>3.7999999999999999E-2</v>
      </c>
      <c r="E140" s="13">
        <v>2.5999999999999999E-2</v>
      </c>
      <c r="F140" s="13">
        <v>3.6600000000000001E-2</v>
      </c>
      <c r="G140" s="13">
        <v>2.7E-2</v>
      </c>
      <c r="H140" s="13">
        <v>3.3099999999999997E-2</v>
      </c>
      <c r="I140" s="1366">
        <v>2.5899999999999999E-2</v>
      </c>
      <c r="J140" s="13">
        <v>3.7999999999999999E-2</v>
      </c>
      <c r="K140" s="13">
        <v>2.669886829312202E-2</v>
      </c>
      <c r="L140" s="13">
        <v>4.1076705645151368E-2</v>
      </c>
      <c r="M140" s="13">
        <v>4.1000000000000002E-2</v>
      </c>
    </row>
    <row r="141" spans="1:13" x14ac:dyDescent="0.25">
      <c r="A141" s="1365">
        <v>0.33</v>
      </c>
      <c r="B141" s="13">
        <v>5.2884086679258833E-2</v>
      </c>
      <c r="C141" s="13">
        <v>3.4336497086751433E-2</v>
      </c>
      <c r="D141" s="13">
        <v>3.7999999999999999E-2</v>
      </c>
      <c r="E141" s="13">
        <v>2.7E-2</v>
      </c>
      <c r="F141" s="13">
        <v>3.6799999999999999E-2</v>
      </c>
      <c r="G141" s="13">
        <v>2.7E-2</v>
      </c>
      <c r="H141" s="13">
        <v>3.3700000000000001E-2</v>
      </c>
      <c r="I141" s="1366">
        <v>2.6200000000000001E-2</v>
      </c>
      <c r="J141" s="13">
        <v>3.7999999999999999E-2</v>
      </c>
      <c r="K141" s="13">
        <v>2.6864425871191835E-2</v>
      </c>
      <c r="L141" s="13">
        <v>4.1400305394836079E-2</v>
      </c>
      <c r="M141" s="13">
        <v>4.2000000000000003E-2</v>
      </c>
    </row>
    <row r="142" spans="1:13" x14ac:dyDescent="0.25">
      <c r="A142" s="1365">
        <v>0.34</v>
      </c>
      <c r="B142" s="13">
        <v>5.3277470173128672E-2</v>
      </c>
      <c r="C142" s="13">
        <v>3.5590154836656271E-2</v>
      </c>
      <c r="D142" s="13">
        <v>3.9E-2</v>
      </c>
      <c r="E142" s="13">
        <v>2.7E-2</v>
      </c>
      <c r="F142" s="13">
        <v>3.7100000000000001E-2</v>
      </c>
      <c r="G142" s="13">
        <v>2.7E-2</v>
      </c>
      <c r="H142" s="13">
        <v>3.39E-2</v>
      </c>
      <c r="I142" s="1366">
        <v>2.6499999999999999E-2</v>
      </c>
      <c r="J142" s="13">
        <v>3.9E-2</v>
      </c>
      <c r="K142" s="13">
        <v>2.7108844776049107E-2</v>
      </c>
      <c r="L142" s="13">
        <v>4.1687041456473735E-2</v>
      </c>
      <c r="M142" s="13">
        <v>4.2000000000000003E-2</v>
      </c>
    </row>
    <row r="143" spans="1:13" x14ac:dyDescent="0.25">
      <c r="A143" s="1365">
        <v>0.35</v>
      </c>
      <c r="B143" s="13">
        <v>5.3652490423361718E-2</v>
      </c>
      <c r="C143" s="13">
        <v>3.5797269568661409E-2</v>
      </c>
      <c r="D143" s="13">
        <v>3.9E-2</v>
      </c>
      <c r="E143" s="13">
        <v>2.8000000000000001E-2</v>
      </c>
      <c r="F143" s="13">
        <v>3.7400000000000003E-2</v>
      </c>
      <c r="G143" s="13">
        <v>2.7E-2</v>
      </c>
      <c r="H143" s="13">
        <v>3.4299999999999997E-2</v>
      </c>
      <c r="I143" s="1366">
        <v>2.69E-2</v>
      </c>
      <c r="J143" s="13">
        <v>3.9E-2</v>
      </c>
      <c r="K143" s="13">
        <v>2.7351962679644046E-2</v>
      </c>
      <c r="L143" s="13">
        <v>4.1776362920549114E-2</v>
      </c>
      <c r="M143" s="13">
        <v>4.2000000000000003E-2</v>
      </c>
    </row>
    <row r="144" spans="1:13" x14ac:dyDescent="0.25">
      <c r="A144" s="1365">
        <v>0.36</v>
      </c>
      <c r="B144" s="13">
        <v>5.3948847227570276E-2</v>
      </c>
      <c r="C144" s="13">
        <v>3.6237242218519691E-2</v>
      </c>
      <c r="D144" s="13">
        <v>3.9E-2</v>
      </c>
      <c r="E144" s="13">
        <v>2.8000000000000001E-2</v>
      </c>
      <c r="F144" s="13">
        <v>3.7600000000000001E-2</v>
      </c>
      <c r="G144" s="13">
        <v>2.7E-2</v>
      </c>
      <c r="H144" s="13">
        <v>3.4599999999999999E-2</v>
      </c>
      <c r="I144" s="1366">
        <v>2.7E-2</v>
      </c>
      <c r="J144" s="13">
        <v>3.9E-2</v>
      </c>
      <c r="K144" s="13">
        <v>2.7675662658581401E-2</v>
      </c>
      <c r="L144" s="13">
        <v>4.1986464701455929E-2</v>
      </c>
      <c r="M144" s="13">
        <v>4.2000000000000003E-2</v>
      </c>
    </row>
    <row r="145" spans="1:13" x14ac:dyDescent="0.25">
      <c r="A145" s="1365">
        <v>0.37</v>
      </c>
      <c r="B145" s="13">
        <v>5.4092444445379986E-2</v>
      </c>
      <c r="C145" s="13">
        <v>3.6814894764674887E-2</v>
      </c>
      <c r="D145" s="13">
        <v>0.04</v>
      </c>
      <c r="E145" s="13">
        <v>2.8000000000000001E-2</v>
      </c>
      <c r="F145" s="13">
        <v>3.78E-2</v>
      </c>
      <c r="G145" s="13">
        <v>2.7E-2</v>
      </c>
      <c r="H145" s="13">
        <v>3.4799999999999998E-2</v>
      </c>
      <c r="I145" s="1366">
        <v>2.7300000000000001E-2</v>
      </c>
      <c r="J145" s="13">
        <v>3.9E-2</v>
      </c>
      <c r="K145" s="13">
        <v>2.8037214169787113E-2</v>
      </c>
      <c r="L145" s="13">
        <v>4.2339138590193635E-2</v>
      </c>
      <c r="M145" s="13">
        <v>4.2999999999999997E-2</v>
      </c>
    </row>
    <row r="146" spans="1:13" x14ac:dyDescent="0.25">
      <c r="A146" s="1365">
        <v>0.38</v>
      </c>
      <c r="B146" s="13">
        <v>5.4289499018747973E-2</v>
      </c>
      <c r="C146" s="13">
        <v>3.7435537836574197E-2</v>
      </c>
      <c r="D146" s="13">
        <v>0.04</v>
      </c>
      <c r="E146" s="13">
        <v>2.9000000000000001E-2</v>
      </c>
      <c r="F146" s="13">
        <v>3.7999999999999999E-2</v>
      </c>
      <c r="G146" s="13">
        <v>2.8000000000000001E-2</v>
      </c>
      <c r="H146" s="13">
        <v>3.5099999999999999E-2</v>
      </c>
      <c r="I146" s="1366">
        <v>2.7799999999999998E-2</v>
      </c>
      <c r="J146" s="13">
        <v>0.04</v>
      </c>
      <c r="K146" s="13">
        <v>2.8320792779633123E-2</v>
      </c>
      <c r="L146" s="13">
        <v>4.2460675478967258E-2</v>
      </c>
      <c r="M146" s="13">
        <v>4.2999999999999997E-2</v>
      </c>
    </row>
    <row r="147" spans="1:13" x14ac:dyDescent="0.25">
      <c r="A147" s="1365">
        <v>0.39</v>
      </c>
      <c r="B147" s="13">
        <v>5.4452898453940239E-2</v>
      </c>
      <c r="C147" s="13">
        <v>3.8117556312100342E-2</v>
      </c>
      <c r="D147" s="13">
        <v>0.04</v>
      </c>
      <c r="E147" s="13">
        <v>2.9000000000000001E-2</v>
      </c>
      <c r="F147" s="13">
        <v>3.8399999999999997E-2</v>
      </c>
      <c r="G147" s="13">
        <v>2.8000000000000001E-2</v>
      </c>
      <c r="H147" s="13">
        <v>3.5400000000000001E-2</v>
      </c>
      <c r="I147" s="1366">
        <v>2.8199999999999999E-2</v>
      </c>
      <c r="J147" s="13">
        <v>0.04</v>
      </c>
      <c r="K147" s="13">
        <v>2.87051452439719E-2</v>
      </c>
      <c r="L147" s="13">
        <v>4.3047880591495141E-2</v>
      </c>
      <c r="M147" s="13">
        <v>4.2999999999999997E-2</v>
      </c>
    </row>
    <row r="148" spans="1:13" x14ac:dyDescent="0.25">
      <c r="A148" s="1365">
        <v>0.4</v>
      </c>
      <c r="B148" s="13">
        <v>5.4506833575229799E-2</v>
      </c>
      <c r="C148" s="13">
        <v>3.8382607137626049E-2</v>
      </c>
      <c r="D148" s="13">
        <v>4.1000000000000002E-2</v>
      </c>
      <c r="E148" s="13">
        <v>2.9000000000000001E-2</v>
      </c>
      <c r="F148" s="13">
        <v>3.8699999999999998E-2</v>
      </c>
      <c r="G148" s="13">
        <v>2.8000000000000001E-2</v>
      </c>
      <c r="H148" s="13">
        <v>3.5799999999999998E-2</v>
      </c>
      <c r="I148" s="1366">
        <v>2.8400000000000002E-2</v>
      </c>
      <c r="J148" s="13">
        <v>4.1000000000000002E-2</v>
      </c>
      <c r="K148" s="13">
        <v>2.8917834768769492E-2</v>
      </c>
      <c r="L148" s="13">
        <v>4.3125977317664065E-2</v>
      </c>
      <c r="M148" s="13">
        <v>4.2999999999999997E-2</v>
      </c>
    </row>
    <row r="149" spans="1:13" x14ac:dyDescent="0.25">
      <c r="A149" s="1365">
        <v>0.41</v>
      </c>
      <c r="B149" s="13">
        <v>5.4744668888057589E-2</v>
      </c>
      <c r="C149" s="13">
        <v>3.8397800759593446E-2</v>
      </c>
      <c r="D149" s="13">
        <v>4.1000000000000002E-2</v>
      </c>
      <c r="E149" s="13">
        <v>0.03</v>
      </c>
      <c r="F149" s="13">
        <v>3.9E-2</v>
      </c>
      <c r="G149" s="13">
        <v>2.8000000000000001E-2</v>
      </c>
      <c r="H149" s="13">
        <v>3.61E-2</v>
      </c>
      <c r="I149" s="1366">
        <v>2.86E-2</v>
      </c>
      <c r="J149" s="13">
        <v>4.1000000000000002E-2</v>
      </c>
      <c r="K149" s="13">
        <v>2.9398956776057954E-2</v>
      </c>
      <c r="L149" s="13">
        <v>4.3727730241633997E-2</v>
      </c>
      <c r="M149" s="13">
        <v>4.3999999999999997E-2</v>
      </c>
    </row>
    <row r="150" spans="1:13" x14ac:dyDescent="0.25">
      <c r="A150" s="1365">
        <v>0.42</v>
      </c>
      <c r="B150" s="13">
        <v>5.5164398198701448E-2</v>
      </c>
      <c r="C150" s="13">
        <v>3.8612295465153657E-2</v>
      </c>
      <c r="D150" s="13">
        <v>4.1000000000000002E-2</v>
      </c>
      <c r="E150" s="13">
        <v>0.03</v>
      </c>
      <c r="F150" s="13">
        <v>3.9199999999999999E-2</v>
      </c>
      <c r="G150" s="13">
        <v>2.9000000000000001E-2</v>
      </c>
      <c r="H150" s="13">
        <v>3.6400000000000002E-2</v>
      </c>
      <c r="I150" s="1366">
        <v>2.8899999999999999E-2</v>
      </c>
      <c r="J150" s="13">
        <v>4.1000000000000002E-2</v>
      </c>
      <c r="K150" s="13">
        <v>2.984959335676254E-2</v>
      </c>
      <c r="L150" s="13">
        <v>4.3933457393797434E-2</v>
      </c>
      <c r="M150" s="13">
        <v>4.3999999999999997E-2</v>
      </c>
    </row>
    <row r="151" spans="1:13" x14ac:dyDescent="0.25">
      <c r="A151" s="1365">
        <v>0.43</v>
      </c>
      <c r="B151" s="13">
        <v>5.5241782097762621E-2</v>
      </c>
      <c r="C151" s="13">
        <v>3.8694897814089378E-2</v>
      </c>
      <c r="D151" s="13">
        <v>4.2000000000000003E-2</v>
      </c>
      <c r="E151" s="13">
        <v>0.03</v>
      </c>
      <c r="F151" s="13">
        <v>3.95E-2</v>
      </c>
      <c r="G151" s="13">
        <v>2.9000000000000001E-2</v>
      </c>
      <c r="H151" s="13">
        <v>3.6600000000000001E-2</v>
      </c>
      <c r="I151" s="1366">
        <v>2.93E-2</v>
      </c>
      <c r="J151" s="13">
        <v>4.1000000000000002E-2</v>
      </c>
      <c r="K151" s="13">
        <v>3.0420541896604848E-2</v>
      </c>
      <c r="L151" s="13">
        <v>4.4075969608607296E-2</v>
      </c>
      <c r="M151" s="13">
        <v>4.3999999999999997E-2</v>
      </c>
    </row>
    <row r="152" spans="1:13" x14ac:dyDescent="0.25">
      <c r="A152" s="1365">
        <v>0.44</v>
      </c>
      <c r="B152" s="13">
        <v>5.5244940328453986E-2</v>
      </c>
      <c r="C152" s="13">
        <v>3.9247680216587588E-2</v>
      </c>
      <c r="D152" s="13">
        <v>4.2000000000000003E-2</v>
      </c>
      <c r="E152" s="13">
        <v>3.1E-2</v>
      </c>
      <c r="F152" s="13">
        <v>3.9800000000000002E-2</v>
      </c>
      <c r="G152" s="13">
        <v>2.9000000000000001E-2</v>
      </c>
      <c r="H152" s="13">
        <v>3.6900000000000002E-2</v>
      </c>
      <c r="I152" s="1366">
        <v>2.9600000000000001E-2</v>
      </c>
      <c r="J152" s="13">
        <v>4.2000000000000003E-2</v>
      </c>
      <c r="K152" s="13">
        <v>3.0705056930463701E-2</v>
      </c>
      <c r="L152" s="13">
        <v>4.4249322191753683E-2</v>
      </c>
      <c r="M152" s="13">
        <v>4.3999999999999997E-2</v>
      </c>
    </row>
    <row r="153" spans="1:13" x14ac:dyDescent="0.25">
      <c r="A153" s="1365">
        <v>0.45</v>
      </c>
      <c r="B153" s="13">
        <v>5.540878218248986E-2</v>
      </c>
      <c r="C153" s="13">
        <v>3.9253585188469373E-2</v>
      </c>
      <c r="D153" s="13">
        <v>4.2000000000000003E-2</v>
      </c>
      <c r="E153" s="13">
        <v>3.1E-2</v>
      </c>
      <c r="F153" s="13">
        <v>0.04</v>
      </c>
      <c r="G153" s="13">
        <v>2.9000000000000001E-2</v>
      </c>
      <c r="H153" s="13">
        <v>3.7199999999999997E-2</v>
      </c>
      <c r="I153" s="1366">
        <v>3.0200000000000001E-2</v>
      </c>
      <c r="J153" s="13">
        <v>4.2000000000000003E-2</v>
      </c>
      <c r="K153" s="13">
        <v>3.096117712720909E-2</v>
      </c>
      <c r="L153" s="13">
        <v>4.4408664553057871E-2</v>
      </c>
      <c r="M153" s="13">
        <v>4.4999999999999998E-2</v>
      </c>
    </row>
    <row r="154" spans="1:13" x14ac:dyDescent="0.25">
      <c r="A154" s="1365">
        <v>0.46</v>
      </c>
      <c r="B154" s="13">
        <v>5.5568196099962636E-2</v>
      </c>
      <c r="C154" s="13">
        <v>3.9384022136596884E-2</v>
      </c>
      <c r="D154" s="13">
        <v>4.2999999999999997E-2</v>
      </c>
      <c r="E154" s="13">
        <v>3.2000000000000001E-2</v>
      </c>
      <c r="F154" s="13">
        <v>4.02E-2</v>
      </c>
      <c r="G154" s="13">
        <v>0.03</v>
      </c>
      <c r="H154" s="13">
        <v>3.7499999999999999E-2</v>
      </c>
      <c r="I154" s="1366">
        <v>3.0800000000000001E-2</v>
      </c>
      <c r="J154" s="13">
        <v>4.2999999999999997E-2</v>
      </c>
      <c r="K154" s="13">
        <v>3.1367679398762241E-2</v>
      </c>
      <c r="L154" s="13">
        <v>4.4922689854593037E-2</v>
      </c>
      <c r="M154" s="13">
        <v>4.4999999999999998E-2</v>
      </c>
    </row>
    <row r="155" spans="1:13" x14ac:dyDescent="0.25">
      <c r="A155" s="1365">
        <v>0.47</v>
      </c>
      <c r="B155" s="13">
        <v>5.5661717680561995E-2</v>
      </c>
      <c r="C155" s="13">
        <v>3.9390932108340798E-2</v>
      </c>
      <c r="D155" s="13">
        <v>4.2999999999999997E-2</v>
      </c>
      <c r="E155" s="13">
        <v>3.2000000000000001E-2</v>
      </c>
      <c r="F155" s="13">
        <v>4.0500000000000001E-2</v>
      </c>
      <c r="G155" s="13">
        <v>0.03</v>
      </c>
      <c r="H155" s="13">
        <v>3.78E-2</v>
      </c>
      <c r="I155" s="1366">
        <v>3.1099999999999999E-2</v>
      </c>
      <c r="J155" s="13">
        <v>4.2999999999999997E-2</v>
      </c>
      <c r="K155" s="13">
        <v>3.1669511405534902E-2</v>
      </c>
      <c r="L155" s="13">
        <v>4.5055243260778269E-2</v>
      </c>
      <c r="M155" s="13">
        <v>4.4999999999999998E-2</v>
      </c>
    </row>
    <row r="156" spans="1:13" x14ac:dyDescent="0.25">
      <c r="A156" s="1365">
        <v>0.48</v>
      </c>
      <c r="B156" s="13">
        <v>5.6009613309651041E-2</v>
      </c>
      <c r="C156" s="13">
        <v>4.0047276841607353E-2</v>
      </c>
      <c r="D156" s="13">
        <v>4.2999999999999997E-2</v>
      </c>
      <c r="E156" s="13">
        <v>3.3000000000000002E-2</v>
      </c>
      <c r="F156" s="13">
        <v>4.0800000000000003E-2</v>
      </c>
      <c r="G156" s="13">
        <v>3.1E-2</v>
      </c>
      <c r="H156" s="13">
        <v>3.7999999999999999E-2</v>
      </c>
      <c r="I156" s="1366">
        <v>3.1300000000000001E-2</v>
      </c>
      <c r="J156" s="13">
        <v>4.2999999999999997E-2</v>
      </c>
      <c r="K156" s="13">
        <v>3.2154930163845005E-2</v>
      </c>
      <c r="L156" s="13">
        <v>4.5290820077962347E-2</v>
      </c>
      <c r="M156" s="13">
        <v>4.4999999999999998E-2</v>
      </c>
    </row>
    <row r="157" spans="1:13" x14ac:dyDescent="0.25">
      <c r="A157" s="1365">
        <v>0.49</v>
      </c>
      <c r="B157" s="13">
        <v>5.618933659796331E-2</v>
      </c>
      <c r="C157" s="13">
        <v>4.0873862203469322E-2</v>
      </c>
      <c r="D157" s="13">
        <v>4.3999999999999997E-2</v>
      </c>
      <c r="E157" s="13">
        <v>3.3000000000000002E-2</v>
      </c>
      <c r="F157" s="13">
        <v>4.1000000000000002E-2</v>
      </c>
      <c r="G157" s="13">
        <v>3.1E-2</v>
      </c>
      <c r="H157" s="13">
        <v>3.8100000000000002E-2</v>
      </c>
      <c r="I157" s="1366">
        <v>3.15E-2</v>
      </c>
      <c r="J157" s="13">
        <v>4.2999999999999997E-2</v>
      </c>
      <c r="K157" s="13">
        <v>3.2452671302605485E-2</v>
      </c>
      <c r="L157" s="13">
        <v>4.5395535093422541E-2</v>
      </c>
      <c r="M157" s="13">
        <v>4.5999999999999999E-2</v>
      </c>
    </row>
    <row r="158" spans="1:13" x14ac:dyDescent="0.25">
      <c r="A158" s="1365">
        <v>0.5</v>
      </c>
      <c r="B158" s="13">
        <v>5.641300874051005E-2</v>
      </c>
      <c r="C158" s="13">
        <v>4.1126294139575123E-2</v>
      </c>
      <c r="D158" s="13">
        <v>4.3999999999999997E-2</v>
      </c>
      <c r="E158" s="13">
        <v>3.4000000000000002E-2</v>
      </c>
      <c r="F158" s="13">
        <v>4.1300000000000003E-2</v>
      </c>
      <c r="G158" s="13">
        <v>3.1E-2</v>
      </c>
      <c r="H158" s="13">
        <v>3.8300000000000001E-2</v>
      </c>
      <c r="I158" s="1366">
        <v>3.1600000000000003E-2</v>
      </c>
      <c r="J158" s="13">
        <v>4.3999999999999997E-2</v>
      </c>
      <c r="K158" s="13">
        <v>3.2705526341410648E-2</v>
      </c>
      <c r="L158" s="13">
        <v>4.5558037309514535E-2</v>
      </c>
      <c r="M158" s="13">
        <v>4.5999999999999999E-2</v>
      </c>
    </row>
    <row r="159" spans="1:13" x14ac:dyDescent="0.25">
      <c r="A159" s="1365">
        <v>0.51</v>
      </c>
      <c r="B159" s="13">
        <v>5.6507349733221149E-2</v>
      </c>
      <c r="C159" s="13">
        <v>4.1621987829197141E-2</v>
      </c>
      <c r="D159" s="13">
        <v>4.3999999999999997E-2</v>
      </c>
      <c r="E159" s="13">
        <v>3.4000000000000002E-2</v>
      </c>
      <c r="F159" s="13">
        <v>4.1599999999999998E-2</v>
      </c>
      <c r="G159" s="13">
        <v>3.1E-2</v>
      </c>
      <c r="H159" s="13">
        <v>3.8399999999999997E-2</v>
      </c>
      <c r="I159" s="1366">
        <v>3.1800000000000002E-2</v>
      </c>
      <c r="J159" s="13">
        <v>4.3999999999999997E-2</v>
      </c>
      <c r="K159" s="13">
        <v>3.2978399725053446E-2</v>
      </c>
      <c r="L159" s="13">
        <v>4.5661520863357716E-2</v>
      </c>
      <c r="M159" s="13">
        <v>4.5999999999999999E-2</v>
      </c>
    </row>
    <row r="160" spans="1:13" x14ac:dyDescent="0.25">
      <c r="A160" s="1365">
        <v>0.52</v>
      </c>
      <c r="B160" s="13">
        <v>5.6865743090744339E-2</v>
      </c>
      <c r="C160" s="13">
        <v>4.2066556817304875E-2</v>
      </c>
      <c r="D160" s="13">
        <v>4.3999999999999997E-2</v>
      </c>
      <c r="E160" s="13">
        <v>3.4000000000000002E-2</v>
      </c>
      <c r="F160" s="13">
        <v>4.1799999999999997E-2</v>
      </c>
      <c r="G160" s="13">
        <v>3.2000000000000001E-2</v>
      </c>
      <c r="H160" s="13">
        <v>3.8699999999999998E-2</v>
      </c>
      <c r="I160" s="1366">
        <v>3.2000000000000001E-2</v>
      </c>
      <c r="J160" s="13">
        <v>4.4999999999999998E-2</v>
      </c>
      <c r="K160" s="13">
        <v>3.3421016918594899E-2</v>
      </c>
      <c r="L160" s="13">
        <v>4.576316852144259E-2</v>
      </c>
      <c r="M160" s="13">
        <v>4.5999999999999999E-2</v>
      </c>
    </row>
    <row r="161" spans="1:13" x14ac:dyDescent="0.25">
      <c r="A161" s="1365">
        <v>0.53</v>
      </c>
      <c r="B161" s="13">
        <v>5.7250305423915231E-2</v>
      </c>
      <c r="C161" s="13">
        <v>4.2363311590304105E-2</v>
      </c>
      <c r="D161" s="13">
        <v>4.4999999999999998E-2</v>
      </c>
      <c r="E161" s="13">
        <v>3.5000000000000003E-2</v>
      </c>
      <c r="F161" s="13">
        <v>4.2099999999999999E-2</v>
      </c>
      <c r="G161" s="13">
        <v>3.2000000000000001E-2</v>
      </c>
      <c r="H161" s="13">
        <v>3.8800000000000001E-2</v>
      </c>
      <c r="I161" s="1366">
        <v>3.2500000000000001E-2</v>
      </c>
      <c r="J161" s="13">
        <v>4.4999999999999998E-2</v>
      </c>
      <c r="K161" s="13">
        <v>3.3711493482834406E-2</v>
      </c>
      <c r="L161" s="13">
        <v>4.6130075846659749E-2</v>
      </c>
      <c r="M161" s="13">
        <v>4.5999999999999999E-2</v>
      </c>
    </row>
    <row r="162" spans="1:13" x14ac:dyDescent="0.25">
      <c r="A162" s="1365">
        <v>0.54</v>
      </c>
      <c r="B162" s="13">
        <v>5.77555110714447E-2</v>
      </c>
      <c r="C162" s="13">
        <v>4.2617424250240135E-2</v>
      </c>
      <c r="D162" s="13">
        <v>4.4999999999999998E-2</v>
      </c>
      <c r="E162" s="13">
        <v>3.5000000000000003E-2</v>
      </c>
      <c r="F162" s="13">
        <v>4.24E-2</v>
      </c>
      <c r="G162" s="13">
        <v>3.3000000000000002E-2</v>
      </c>
      <c r="H162" s="13">
        <v>3.9100000000000003E-2</v>
      </c>
      <c r="I162" s="1366">
        <v>3.2800000000000003E-2</v>
      </c>
      <c r="J162" s="13">
        <v>4.4999999999999998E-2</v>
      </c>
      <c r="K162" s="13">
        <v>3.3991835695975546E-2</v>
      </c>
      <c r="L162" s="13">
        <v>4.6234510174179476E-2</v>
      </c>
      <c r="M162" s="13">
        <v>4.5999999999999999E-2</v>
      </c>
    </row>
    <row r="163" spans="1:13" x14ac:dyDescent="0.25">
      <c r="A163" s="1365">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6">
        <v>3.3000000000000002E-2</v>
      </c>
      <c r="J163" s="13">
        <v>4.4999999999999998E-2</v>
      </c>
      <c r="K163" s="13">
        <v>3.4558157605951809E-2</v>
      </c>
      <c r="L163" s="13">
        <v>4.6377488486796986E-2</v>
      </c>
      <c r="M163" s="13">
        <v>4.5999999999999999E-2</v>
      </c>
    </row>
    <row r="164" spans="1:13" x14ac:dyDescent="0.25">
      <c r="A164" s="1365">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6">
        <v>3.32E-2</v>
      </c>
      <c r="J164" s="13">
        <v>4.5999999999999999E-2</v>
      </c>
      <c r="K164" s="13">
        <v>3.4844086396925739E-2</v>
      </c>
      <c r="L164" s="13">
        <v>4.6720740013203019E-2</v>
      </c>
      <c r="M164" s="13">
        <v>4.7E-2</v>
      </c>
    </row>
    <row r="165" spans="1:13" x14ac:dyDescent="0.25">
      <c r="A165" s="1365">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6">
        <v>3.3500000000000002E-2</v>
      </c>
      <c r="J165" s="13">
        <v>4.5999999999999999E-2</v>
      </c>
      <c r="K165" s="13">
        <v>3.5175788727915533E-2</v>
      </c>
      <c r="L165" s="13">
        <v>4.6971866876044897E-2</v>
      </c>
      <c r="M165" s="13">
        <v>4.7E-2</v>
      </c>
    </row>
    <row r="166" spans="1:13" x14ac:dyDescent="0.25">
      <c r="A166" s="1365">
        <v>0.57999999999999996</v>
      </c>
      <c r="B166" s="13">
        <v>5.9401806673005708E-2</v>
      </c>
      <c r="C166" s="13">
        <v>4.3003407840047005E-2</v>
      </c>
      <c r="D166" s="13">
        <v>4.5999999999999999E-2</v>
      </c>
      <c r="E166" s="13">
        <v>3.5999999999999997E-2</v>
      </c>
      <c r="F166" s="13">
        <v>4.3200000000000002E-2</v>
      </c>
      <c r="G166" s="13">
        <v>3.4000000000000002E-2</v>
      </c>
      <c r="H166" s="13">
        <v>0.04</v>
      </c>
      <c r="I166" s="1366">
        <v>3.3799999999999997E-2</v>
      </c>
      <c r="J166" s="13">
        <v>4.7E-2</v>
      </c>
      <c r="K166" s="13">
        <v>3.5413354397402071E-2</v>
      </c>
      <c r="L166" s="13">
        <v>4.7153428355569876E-2</v>
      </c>
      <c r="M166" s="13">
        <v>4.7E-2</v>
      </c>
    </row>
    <row r="167" spans="1:13" x14ac:dyDescent="0.25">
      <c r="A167" s="1365">
        <v>0.59</v>
      </c>
      <c r="B167" s="13">
        <v>5.9673758045255487E-2</v>
      </c>
      <c r="C167" s="13">
        <v>4.3143449126851335E-2</v>
      </c>
      <c r="D167" s="13">
        <v>4.5999999999999999E-2</v>
      </c>
      <c r="E167" s="13">
        <v>3.5999999999999997E-2</v>
      </c>
      <c r="F167" s="13">
        <v>4.3299999999999998E-2</v>
      </c>
      <c r="G167" s="13">
        <v>3.4000000000000002E-2</v>
      </c>
      <c r="H167" s="13">
        <v>4.02E-2</v>
      </c>
      <c r="I167" s="1366">
        <v>3.4099999999999998E-2</v>
      </c>
      <c r="J167" s="13">
        <v>4.7E-2</v>
      </c>
      <c r="K167" s="13">
        <v>3.5641548407323115E-2</v>
      </c>
      <c r="L167" s="13">
        <v>4.7282686568670906E-2</v>
      </c>
      <c r="M167" s="13">
        <v>4.7E-2</v>
      </c>
    </row>
    <row r="168" spans="1:13" x14ac:dyDescent="0.25">
      <c r="A168" s="1365">
        <v>0.6</v>
      </c>
      <c r="B168" s="13">
        <v>5.9694839481855715E-2</v>
      </c>
      <c r="C168" s="13">
        <v>4.351874790608886E-2</v>
      </c>
      <c r="D168" s="13">
        <v>4.7E-2</v>
      </c>
      <c r="E168" s="13">
        <v>3.6999999999999998E-2</v>
      </c>
      <c r="F168" s="13">
        <v>4.36E-2</v>
      </c>
      <c r="G168" s="13">
        <v>3.5000000000000003E-2</v>
      </c>
      <c r="H168" s="13">
        <v>4.0399999999999998E-2</v>
      </c>
      <c r="I168" s="1366">
        <v>3.44E-2</v>
      </c>
      <c r="J168" s="13">
        <v>4.7E-2</v>
      </c>
      <c r="K168" s="13">
        <v>3.5917884231703417E-2</v>
      </c>
      <c r="L168" s="13">
        <v>4.7598998859950205E-2</v>
      </c>
      <c r="M168" s="13">
        <v>4.7E-2</v>
      </c>
    </row>
    <row r="169" spans="1:13" x14ac:dyDescent="0.25">
      <c r="A169" s="1365">
        <v>0.61</v>
      </c>
      <c r="B169" s="13">
        <v>5.9765808480453972E-2</v>
      </c>
      <c r="C169" s="13">
        <v>4.3624480357623376E-2</v>
      </c>
      <c r="D169" s="13">
        <v>4.7E-2</v>
      </c>
      <c r="E169" s="13">
        <v>3.6999999999999998E-2</v>
      </c>
      <c r="F169" s="13">
        <v>4.3799999999999999E-2</v>
      </c>
      <c r="G169" s="13">
        <v>3.5000000000000003E-2</v>
      </c>
      <c r="H169" s="13">
        <v>4.0599999999999997E-2</v>
      </c>
      <c r="I169" s="1366">
        <v>3.4700000000000002E-2</v>
      </c>
      <c r="J169" s="13">
        <v>4.7E-2</v>
      </c>
      <c r="K169" s="13">
        <v>3.633676371355847E-2</v>
      </c>
      <c r="L169" s="13">
        <v>4.8001328966228954E-2</v>
      </c>
      <c r="M169" s="13">
        <v>4.8000000000000001E-2</v>
      </c>
    </row>
    <row r="170" spans="1:13" x14ac:dyDescent="0.25">
      <c r="A170" s="1365">
        <v>0.62</v>
      </c>
      <c r="B170" s="13">
        <v>6.0036043907060667E-2</v>
      </c>
      <c r="C170" s="13">
        <v>4.391138395125533E-2</v>
      </c>
      <c r="D170" s="13">
        <v>4.7E-2</v>
      </c>
      <c r="E170" s="13">
        <v>3.6999999999999998E-2</v>
      </c>
      <c r="F170" s="13">
        <v>4.3999999999999997E-2</v>
      </c>
      <c r="G170" s="13">
        <v>3.5999999999999997E-2</v>
      </c>
      <c r="H170" s="13">
        <v>4.0800000000000003E-2</v>
      </c>
      <c r="I170" s="1366">
        <v>3.5099999999999999E-2</v>
      </c>
      <c r="J170" s="13">
        <v>4.8000000000000001E-2</v>
      </c>
      <c r="K170" s="13">
        <v>3.6589695320860281E-2</v>
      </c>
      <c r="L170" s="13">
        <v>4.8054745418665744E-2</v>
      </c>
      <c r="M170" s="13">
        <v>4.8000000000000001E-2</v>
      </c>
    </row>
    <row r="171" spans="1:13" x14ac:dyDescent="0.25">
      <c r="A171" s="1365">
        <v>0.63</v>
      </c>
      <c r="B171" s="13">
        <v>6.0142210730446025E-2</v>
      </c>
      <c r="C171" s="13">
        <v>4.4221953916955027E-2</v>
      </c>
      <c r="D171" s="13">
        <v>4.8000000000000001E-2</v>
      </c>
      <c r="E171" s="13">
        <v>3.7999999999999999E-2</v>
      </c>
      <c r="F171" s="13">
        <v>4.4299999999999999E-2</v>
      </c>
      <c r="G171" s="13">
        <v>3.5999999999999997E-2</v>
      </c>
      <c r="H171" s="13">
        <v>4.1000000000000002E-2</v>
      </c>
      <c r="I171" s="1366">
        <v>3.56E-2</v>
      </c>
      <c r="J171" s="13">
        <v>4.8000000000000001E-2</v>
      </c>
      <c r="K171" s="13">
        <v>3.7108125355449495E-2</v>
      </c>
      <c r="L171" s="13">
        <v>4.8444437606418235E-2</v>
      </c>
      <c r="M171" s="13">
        <v>4.9000000000000002E-2</v>
      </c>
    </row>
    <row r="172" spans="1:13" x14ac:dyDescent="0.25">
      <c r="A172" s="1365">
        <v>0.64</v>
      </c>
      <c r="B172" s="13">
        <v>6.0364056525526739E-2</v>
      </c>
      <c r="C172" s="13">
        <v>4.4628627129574432E-2</v>
      </c>
      <c r="D172" s="13">
        <v>4.8000000000000001E-2</v>
      </c>
      <c r="E172" s="13">
        <v>3.7999999999999999E-2</v>
      </c>
      <c r="F172" s="13">
        <v>4.4499999999999998E-2</v>
      </c>
      <c r="G172" s="13">
        <v>3.6999999999999998E-2</v>
      </c>
      <c r="H172" s="13">
        <v>4.1200000000000001E-2</v>
      </c>
      <c r="I172" s="1366">
        <v>3.5900000000000001E-2</v>
      </c>
      <c r="J172" s="13">
        <v>4.9000000000000002E-2</v>
      </c>
      <c r="K172" s="13">
        <v>3.7524226971752242E-2</v>
      </c>
      <c r="L172" s="13">
        <v>4.8955642758507653E-2</v>
      </c>
      <c r="M172" s="13">
        <v>4.9000000000000002E-2</v>
      </c>
    </row>
    <row r="173" spans="1:13" x14ac:dyDescent="0.25">
      <c r="A173" s="1365">
        <v>0.65</v>
      </c>
      <c r="B173" s="13">
        <v>6.0477010106429141E-2</v>
      </c>
      <c r="C173" s="13">
        <v>4.5500690929498711E-2</v>
      </c>
      <c r="D173" s="13">
        <v>4.8000000000000001E-2</v>
      </c>
      <c r="E173" s="13">
        <v>3.9E-2</v>
      </c>
      <c r="F173" s="13">
        <v>4.4699999999999997E-2</v>
      </c>
      <c r="G173" s="13">
        <v>3.6999999999999998E-2</v>
      </c>
      <c r="H173" s="13">
        <v>4.1300000000000003E-2</v>
      </c>
      <c r="I173" s="1366">
        <v>3.6200000000000003E-2</v>
      </c>
      <c r="J173" s="13">
        <v>4.9000000000000002E-2</v>
      </c>
      <c r="K173" s="13">
        <v>3.7776577131107783E-2</v>
      </c>
      <c r="L173" s="13">
        <v>4.9372895295845674E-2</v>
      </c>
      <c r="M173" s="13">
        <v>0.05</v>
      </c>
    </row>
    <row r="174" spans="1:13" x14ac:dyDescent="0.25">
      <c r="A174" s="1365">
        <v>0.66</v>
      </c>
      <c r="B174" s="13">
        <v>6.06386304608297E-2</v>
      </c>
      <c r="C174" s="13">
        <v>4.5724026774067637E-2</v>
      </c>
      <c r="D174" s="13">
        <v>4.8000000000000001E-2</v>
      </c>
      <c r="E174" s="13">
        <v>3.9E-2</v>
      </c>
      <c r="F174" s="13">
        <v>4.4900000000000002E-2</v>
      </c>
      <c r="G174" s="13">
        <v>3.7999999999999999E-2</v>
      </c>
      <c r="H174" s="13">
        <v>4.1599999999999998E-2</v>
      </c>
      <c r="I174" s="1366">
        <v>3.6600000000000001E-2</v>
      </c>
      <c r="J174" s="13">
        <v>4.9000000000000002E-2</v>
      </c>
      <c r="K174" s="13">
        <v>3.8264268922340257E-2</v>
      </c>
      <c r="L174" s="13">
        <v>4.9700278098286435E-2</v>
      </c>
      <c r="M174" s="13">
        <v>0.05</v>
      </c>
    </row>
    <row r="175" spans="1:13" x14ac:dyDescent="0.25">
      <c r="A175" s="1365">
        <v>0.67</v>
      </c>
      <c r="B175" s="13">
        <v>6.10329442238823E-2</v>
      </c>
      <c r="C175" s="13">
        <v>4.6935719465885144E-2</v>
      </c>
      <c r="D175" s="13">
        <v>4.9000000000000002E-2</v>
      </c>
      <c r="E175" s="13">
        <v>3.9E-2</v>
      </c>
      <c r="F175" s="13">
        <v>4.53E-2</v>
      </c>
      <c r="G175" s="13">
        <v>3.7999999999999999E-2</v>
      </c>
      <c r="H175" s="13">
        <v>4.2000000000000003E-2</v>
      </c>
      <c r="I175" s="1366">
        <v>3.6999999999999998E-2</v>
      </c>
      <c r="J175" s="13">
        <v>4.9000000000000002E-2</v>
      </c>
      <c r="K175" s="13">
        <v>3.8485211337677544E-2</v>
      </c>
      <c r="L175" s="13">
        <v>5.0424696175639841E-2</v>
      </c>
      <c r="M175" s="13">
        <v>0.05</v>
      </c>
    </row>
    <row r="176" spans="1:13" x14ac:dyDescent="0.25">
      <c r="A176" s="1365">
        <v>0.68</v>
      </c>
      <c r="B176" s="13">
        <v>6.1425523027486731E-2</v>
      </c>
      <c r="C176" s="13">
        <v>4.8745105755270877E-2</v>
      </c>
      <c r="D176" s="13">
        <v>4.9000000000000002E-2</v>
      </c>
      <c r="E176" s="13">
        <v>3.9E-2</v>
      </c>
      <c r="F176" s="13">
        <v>4.5499999999999999E-2</v>
      </c>
      <c r="G176" s="13">
        <v>3.9E-2</v>
      </c>
      <c r="H176" s="13">
        <v>4.24E-2</v>
      </c>
      <c r="I176" s="1366">
        <v>3.7400000000000003E-2</v>
      </c>
      <c r="J176" s="13">
        <v>0.05</v>
      </c>
      <c r="K176" s="13">
        <v>3.8813488010396038E-2</v>
      </c>
      <c r="L176" s="13">
        <v>5.0561959085433823E-2</v>
      </c>
      <c r="M176" s="13">
        <v>0.05</v>
      </c>
    </row>
    <row r="177" spans="1:13" x14ac:dyDescent="0.25">
      <c r="A177" s="1365">
        <v>0.69</v>
      </c>
      <c r="B177" s="13">
        <v>6.1764865298909712E-2</v>
      </c>
      <c r="C177" s="13">
        <v>4.9591215204466806E-2</v>
      </c>
      <c r="D177" s="13">
        <v>4.9000000000000002E-2</v>
      </c>
      <c r="E177" s="13">
        <v>0.04</v>
      </c>
      <c r="F177" s="13">
        <v>4.5699999999999998E-2</v>
      </c>
      <c r="G177" s="13">
        <v>3.9E-2</v>
      </c>
      <c r="H177" s="13">
        <v>4.2999999999999997E-2</v>
      </c>
      <c r="I177" s="1366">
        <v>3.7699999999999997E-2</v>
      </c>
      <c r="J177" s="13">
        <v>0.05</v>
      </c>
      <c r="K177" s="13">
        <v>3.9182077144234419E-2</v>
      </c>
      <c r="L177" s="13">
        <v>5.0752148473064321E-2</v>
      </c>
      <c r="M177" s="13">
        <v>5.0999999999999997E-2</v>
      </c>
    </row>
    <row r="178" spans="1:13" x14ac:dyDescent="0.25">
      <c r="A178" s="1365">
        <v>0.7</v>
      </c>
      <c r="B178" s="13">
        <v>6.2217856782215551E-2</v>
      </c>
      <c r="C178" s="13">
        <v>5.0001772587591246E-2</v>
      </c>
      <c r="D178" s="13">
        <v>0.05</v>
      </c>
      <c r="E178" s="13">
        <v>0.04</v>
      </c>
      <c r="F178" s="13">
        <v>4.5999999999999999E-2</v>
      </c>
      <c r="G178" s="13">
        <v>0.04</v>
      </c>
      <c r="H178" s="13">
        <v>4.3400000000000001E-2</v>
      </c>
      <c r="I178" s="1366">
        <v>3.8100000000000002E-2</v>
      </c>
      <c r="J178" s="13">
        <v>5.0999999999999997E-2</v>
      </c>
      <c r="K178" s="13">
        <v>3.9674465191540137E-2</v>
      </c>
      <c r="L178" s="13">
        <v>5.1512900077914724E-2</v>
      </c>
      <c r="M178" s="13">
        <v>5.0999999999999997E-2</v>
      </c>
    </row>
    <row r="179" spans="1:13" x14ac:dyDescent="0.25">
      <c r="A179" s="1365">
        <v>0.71</v>
      </c>
      <c r="B179" s="13">
        <v>6.2867453158528999E-2</v>
      </c>
      <c r="C179" s="13">
        <v>5.0441000314209027E-2</v>
      </c>
      <c r="D179" s="13">
        <v>0.05</v>
      </c>
      <c r="E179" s="13">
        <v>0.04</v>
      </c>
      <c r="F179" s="13">
        <v>4.6300000000000001E-2</v>
      </c>
      <c r="G179" s="13">
        <v>0.04</v>
      </c>
      <c r="H179" s="13">
        <v>4.3700000000000003E-2</v>
      </c>
      <c r="I179" s="1366">
        <v>3.8600000000000002E-2</v>
      </c>
      <c r="J179" s="13">
        <v>5.0999999999999997E-2</v>
      </c>
      <c r="K179" s="13">
        <v>4.0208883491339539E-2</v>
      </c>
      <c r="L179" s="13">
        <v>5.1618527676763573E-2</v>
      </c>
      <c r="M179" s="13">
        <v>5.1999999999999998E-2</v>
      </c>
    </row>
    <row r="180" spans="1:13" x14ac:dyDescent="0.25">
      <c r="A180" s="1365">
        <v>0.72</v>
      </c>
      <c r="B180" s="13">
        <v>6.3503170889803298E-2</v>
      </c>
      <c r="C180" s="13">
        <v>5.0449889059123607E-2</v>
      </c>
      <c r="D180" s="13">
        <v>5.0999999999999997E-2</v>
      </c>
      <c r="E180" s="13">
        <v>0.04</v>
      </c>
      <c r="F180" s="13">
        <v>4.6600000000000003E-2</v>
      </c>
      <c r="G180" s="13">
        <v>4.2000000000000003E-2</v>
      </c>
      <c r="H180" s="13">
        <v>4.3999999999999997E-2</v>
      </c>
      <c r="I180" s="1366">
        <v>3.9199999999999999E-2</v>
      </c>
      <c r="J180" s="13">
        <v>5.1999999999999998E-2</v>
      </c>
      <c r="K180" s="13">
        <v>4.072728663357765E-2</v>
      </c>
      <c r="L180" s="13">
        <v>5.1930651505107783E-2</v>
      </c>
      <c r="M180" s="13">
        <v>5.1999999999999998E-2</v>
      </c>
    </row>
    <row r="181" spans="1:13" x14ac:dyDescent="0.25">
      <c r="A181" s="1365">
        <v>0.73</v>
      </c>
      <c r="B181" s="13">
        <v>6.3917803193482808E-2</v>
      </c>
      <c r="C181" s="13">
        <v>5.1356818055562296E-2</v>
      </c>
      <c r="D181" s="13">
        <v>5.0999999999999997E-2</v>
      </c>
      <c r="E181" s="13">
        <v>0.04</v>
      </c>
      <c r="F181" s="13">
        <v>4.6800000000000001E-2</v>
      </c>
      <c r="G181" s="13">
        <v>4.2000000000000003E-2</v>
      </c>
      <c r="H181" s="13">
        <v>4.4400000000000002E-2</v>
      </c>
      <c r="I181" s="1366">
        <v>3.9600000000000003E-2</v>
      </c>
      <c r="J181" s="13">
        <v>5.1999999999999998E-2</v>
      </c>
      <c r="K181" s="13">
        <v>4.1214801476608921E-2</v>
      </c>
      <c r="L181" s="13">
        <v>5.198054395752752E-2</v>
      </c>
      <c r="M181" s="13">
        <v>5.1999999999999998E-2</v>
      </c>
    </row>
    <row r="182" spans="1:13" x14ac:dyDescent="0.25">
      <c r="A182" s="1365">
        <v>0.74</v>
      </c>
      <c r="B182" s="13">
        <v>6.4570030498758535E-2</v>
      </c>
      <c r="C182" s="13">
        <v>5.1787673196368851E-2</v>
      </c>
      <c r="D182" s="13">
        <v>5.0999999999999997E-2</v>
      </c>
      <c r="E182" s="13">
        <v>4.1000000000000002E-2</v>
      </c>
      <c r="F182" s="13">
        <v>4.7199999999999999E-2</v>
      </c>
      <c r="G182" s="13">
        <v>4.2999999999999997E-2</v>
      </c>
      <c r="H182" s="13">
        <v>4.4699999999999997E-2</v>
      </c>
      <c r="I182" s="1366">
        <v>0.04</v>
      </c>
      <c r="J182" s="13">
        <v>5.1999999999999998E-2</v>
      </c>
      <c r="K182" s="13">
        <v>4.1545136269954215E-2</v>
      </c>
      <c r="L182" s="13">
        <v>5.1995382203931143E-2</v>
      </c>
      <c r="M182" s="13">
        <v>5.1999999999999998E-2</v>
      </c>
    </row>
    <row r="183" spans="1:13" x14ac:dyDescent="0.25">
      <c r="A183" s="1365">
        <v>0.75</v>
      </c>
      <c r="B183" s="13">
        <v>6.4958322752453695E-2</v>
      </c>
      <c r="C183" s="13">
        <v>5.2438074151340226E-2</v>
      </c>
      <c r="D183" s="13">
        <v>5.1999999999999998E-2</v>
      </c>
      <c r="E183" s="13">
        <v>4.1000000000000002E-2</v>
      </c>
      <c r="F183" s="13">
        <v>4.7500000000000001E-2</v>
      </c>
      <c r="G183" s="13">
        <v>4.2999999999999997E-2</v>
      </c>
      <c r="H183" s="13">
        <v>4.4999999999999998E-2</v>
      </c>
      <c r="I183" s="1366">
        <v>4.0599999999999997E-2</v>
      </c>
      <c r="J183" s="13">
        <v>5.1999999999999998E-2</v>
      </c>
      <c r="K183" s="13">
        <v>4.2054286113998904E-2</v>
      </c>
      <c r="L183" s="13">
        <v>5.2030530964466228E-2</v>
      </c>
      <c r="M183" s="13">
        <v>5.1999999999999998E-2</v>
      </c>
    </row>
    <row r="184" spans="1:13" x14ac:dyDescent="0.25">
      <c r="A184" s="1365">
        <v>0.76</v>
      </c>
      <c r="B184" s="13">
        <v>6.5143073686451849E-2</v>
      </c>
      <c r="C184" s="13">
        <v>5.3150627166755511E-2</v>
      </c>
      <c r="D184" s="13">
        <v>5.1999999999999998E-2</v>
      </c>
      <c r="E184" s="13">
        <v>4.1000000000000002E-2</v>
      </c>
      <c r="F184" s="13">
        <v>4.7899999999999998E-2</v>
      </c>
      <c r="G184" s="13">
        <v>4.2999999999999997E-2</v>
      </c>
      <c r="H184" s="13">
        <v>4.53E-2</v>
      </c>
      <c r="I184" s="1366">
        <v>4.0899999999999999E-2</v>
      </c>
      <c r="J184" s="13">
        <v>5.2999999999999999E-2</v>
      </c>
      <c r="K184" s="13">
        <v>4.2335172817900862E-2</v>
      </c>
      <c r="L184" s="13">
        <v>5.2612679062316745E-2</v>
      </c>
      <c r="M184" s="13">
        <v>5.1999999999999998E-2</v>
      </c>
    </row>
    <row r="185" spans="1:13" x14ac:dyDescent="0.25">
      <c r="A185" s="1365">
        <v>0.77</v>
      </c>
      <c r="B185" s="13">
        <v>6.6317489288618206E-2</v>
      </c>
      <c r="C185" s="13">
        <v>5.4873094518331514E-2</v>
      </c>
      <c r="D185" s="13">
        <v>5.2999999999999999E-2</v>
      </c>
      <c r="E185" s="13">
        <v>4.1000000000000002E-2</v>
      </c>
      <c r="F185" s="13">
        <v>4.82E-2</v>
      </c>
      <c r="G185" s="13">
        <v>4.2999999999999997E-2</v>
      </c>
      <c r="H185" s="13">
        <v>4.5600000000000002E-2</v>
      </c>
      <c r="I185" s="1366">
        <v>4.1599999999999998E-2</v>
      </c>
      <c r="J185" s="13">
        <v>5.2999999999999999E-2</v>
      </c>
      <c r="K185" s="13">
        <v>4.2929771238112015E-2</v>
      </c>
      <c r="L185" s="13">
        <v>5.2795358600085489E-2</v>
      </c>
      <c r="M185" s="13">
        <v>5.2999999999999999E-2</v>
      </c>
    </row>
    <row r="186" spans="1:13" x14ac:dyDescent="0.25">
      <c r="A186" s="1365">
        <v>0.78</v>
      </c>
      <c r="B186" s="13">
        <v>6.7341187290418617E-2</v>
      </c>
      <c r="C186" s="13">
        <v>5.5072098043491349E-2</v>
      </c>
      <c r="D186" s="13">
        <v>5.2999999999999999E-2</v>
      </c>
      <c r="E186" s="13">
        <v>4.1000000000000002E-2</v>
      </c>
      <c r="F186" s="13">
        <v>4.8599999999999997E-2</v>
      </c>
      <c r="G186" s="13">
        <v>4.4999999999999998E-2</v>
      </c>
      <c r="H186" s="13">
        <v>4.5699999999999998E-2</v>
      </c>
      <c r="I186" s="1366">
        <v>4.2099999999999999E-2</v>
      </c>
      <c r="J186" s="13">
        <v>5.3999999999999999E-2</v>
      </c>
      <c r="K186" s="13">
        <v>4.3400329390324795E-2</v>
      </c>
      <c r="L186" s="13">
        <v>5.2797246359956272E-2</v>
      </c>
      <c r="M186" s="13">
        <v>5.2999999999999999E-2</v>
      </c>
    </row>
    <row r="187" spans="1:13" x14ac:dyDescent="0.25">
      <c r="A187" s="1365">
        <v>0.79</v>
      </c>
      <c r="B187" s="13">
        <v>6.8086928409474751E-2</v>
      </c>
      <c r="C187" s="13">
        <v>5.5242113420213929E-2</v>
      </c>
      <c r="D187" s="13">
        <v>5.3999999999999999E-2</v>
      </c>
      <c r="E187" s="13">
        <v>4.2000000000000003E-2</v>
      </c>
      <c r="F187" s="13">
        <v>4.8899999999999999E-2</v>
      </c>
      <c r="G187" s="13">
        <v>4.4999999999999998E-2</v>
      </c>
      <c r="H187" s="13">
        <v>4.5999999999999999E-2</v>
      </c>
      <c r="I187" s="1366">
        <v>4.2599999999999999E-2</v>
      </c>
      <c r="J187" s="13">
        <v>5.3999999999999999E-2</v>
      </c>
      <c r="K187" s="13">
        <v>4.3943198189272066E-2</v>
      </c>
      <c r="L187" s="13">
        <v>5.3509119174153637E-2</v>
      </c>
      <c r="M187" s="13">
        <v>5.2999999999999999E-2</v>
      </c>
    </row>
    <row r="188" spans="1:13" x14ac:dyDescent="0.25">
      <c r="A188" s="1365">
        <v>0.8</v>
      </c>
      <c r="B188" s="13">
        <v>6.8702144348932098E-2</v>
      </c>
      <c r="C188" s="13">
        <v>5.5243536155714514E-2</v>
      </c>
      <c r="D188" s="13">
        <v>5.3999999999999999E-2</v>
      </c>
      <c r="E188" s="13">
        <v>4.2000000000000003E-2</v>
      </c>
      <c r="F188" s="13">
        <v>4.9200000000000001E-2</v>
      </c>
      <c r="G188" s="13">
        <v>4.5999999999999999E-2</v>
      </c>
      <c r="H188" s="13">
        <v>4.6300000000000001E-2</v>
      </c>
      <c r="I188" s="1366">
        <v>4.3400000000000001E-2</v>
      </c>
      <c r="J188" s="13">
        <v>5.5E-2</v>
      </c>
      <c r="K188" s="13">
        <v>4.4626489699969227E-2</v>
      </c>
      <c r="L188" s="13">
        <v>5.3727303513987829E-2</v>
      </c>
      <c r="M188" s="13">
        <v>5.2999999999999999E-2</v>
      </c>
    </row>
    <row r="189" spans="1:13" x14ac:dyDescent="0.25">
      <c r="A189" s="1365">
        <v>0.81</v>
      </c>
      <c r="B189" s="13">
        <v>7.0621260709903294E-2</v>
      </c>
      <c r="C189" s="13">
        <v>5.575029847915558E-2</v>
      </c>
      <c r="D189" s="13">
        <v>5.3999999999999999E-2</v>
      </c>
      <c r="E189" s="13">
        <v>4.2999999999999997E-2</v>
      </c>
      <c r="F189" s="13">
        <v>4.9700000000000001E-2</v>
      </c>
      <c r="G189" s="13">
        <v>4.5999999999999999E-2</v>
      </c>
      <c r="H189" s="13">
        <v>4.6699999999999998E-2</v>
      </c>
      <c r="I189" s="1366">
        <v>4.4200000000000003E-2</v>
      </c>
      <c r="J189" s="13">
        <v>5.5E-2</v>
      </c>
      <c r="K189" s="13">
        <v>4.490719134222567E-2</v>
      </c>
      <c r="L189" s="13">
        <v>5.4859953782554975E-2</v>
      </c>
      <c r="M189" s="13">
        <v>5.5E-2</v>
      </c>
    </row>
    <row r="190" spans="1:13" x14ac:dyDescent="0.25">
      <c r="A190" s="1365">
        <v>0.82</v>
      </c>
      <c r="B190" s="13">
        <v>7.208997350125064E-2</v>
      </c>
      <c r="C190" s="13">
        <v>5.6415305386429762E-2</v>
      </c>
      <c r="D190" s="13">
        <v>5.5E-2</v>
      </c>
      <c r="E190" s="13">
        <v>4.2999999999999997E-2</v>
      </c>
      <c r="F190" s="13">
        <v>5.0099999999999999E-2</v>
      </c>
      <c r="G190" s="13">
        <v>4.8000000000000001E-2</v>
      </c>
      <c r="H190" s="13">
        <v>4.7100000000000003E-2</v>
      </c>
      <c r="I190" s="1366">
        <v>4.4600000000000001E-2</v>
      </c>
      <c r="J190" s="13">
        <v>5.6000000000000001E-2</v>
      </c>
      <c r="K190" s="13">
        <v>4.5554102232876328E-2</v>
      </c>
      <c r="L190" s="13">
        <v>5.5443878975215563E-2</v>
      </c>
      <c r="M190" s="13">
        <v>5.5E-2</v>
      </c>
    </row>
    <row r="191" spans="1:13" x14ac:dyDescent="0.25">
      <c r="A191" s="1365">
        <v>0.83</v>
      </c>
      <c r="B191" s="13">
        <v>7.3019154225705832E-2</v>
      </c>
      <c r="C191" s="13">
        <v>5.692601189868151E-2</v>
      </c>
      <c r="D191" s="13">
        <v>5.5E-2</v>
      </c>
      <c r="E191" s="13">
        <v>4.2999999999999997E-2</v>
      </c>
      <c r="F191" s="13">
        <v>5.0599999999999999E-2</v>
      </c>
      <c r="G191" s="13">
        <v>4.8000000000000001E-2</v>
      </c>
      <c r="H191" s="13">
        <v>4.7399999999999998E-2</v>
      </c>
      <c r="I191" s="1366">
        <v>4.4999999999999998E-2</v>
      </c>
      <c r="J191" s="13">
        <v>5.6000000000000001E-2</v>
      </c>
      <c r="K191" s="13">
        <v>4.6158273000585406E-2</v>
      </c>
      <c r="L191" s="13">
        <v>5.5737455988767316E-2</v>
      </c>
      <c r="M191" s="13">
        <v>5.6000000000000001E-2</v>
      </c>
    </row>
    <row r="192" spans="1:13" x14ac:dyDescent="0.25">
      <c r="A192" s="1365">
        <v>0.84</v>
      </c>
      <c r="B192" s="13">
        <v>7.4481387494102824E-2</v>
      </c>
      <c r="C192" s="13">
        <v>5.8616898421637587E-2</v>
      </c>
      <c r="D192" s="13">
        <v>5.6000000000000001E-2</v>
      </c>
      <c r="E192" s="13">
        <v>4.4999999999999998E-2</v>
      </c>
      <c r="F192" s="13">
        <v>5.0999999999999997E-2</v>
      </c>
      <c r="G192" s="13">
        <v>0.05</v>
      </c>
      <c r="H192" s="13">
        <v>4.7899999999999998E-2</v>
      </c>
      <c r="I192" s="1366">
        <v>4.5900000000000003E-2</v>
      </c>
      <c r="J192" s="13">
        <v>5.7000000000000002E-2</v>
      </c>
      <c r="K192" s="13">
        <v>4.6710748516301852E-2</v>
      </c>
      <c r="L192" s="13">
        <v>5.6225117343687278E-2</v>
      </c>
      <c r="M192" s="13">
        <v>5.6000000000000001E-2</v>
      </c>
    </row>
    <row r="193" spans="1:13" x14ac:dyDescent="0.25">
      <c r="A193" s="1365">
        <v>0.85</v>
      </c>
      <c r="B193" s="13">
        <v>7.5324388867625158E-2</v>
      </c>
      <c r="C193" s="13">
        <v>5.9691206288779067E-2</v>
      </c>
      <c r="D193" s="13">
        <v>5.6000000000000001E-2</v>
      </c>
      <c r="E193" s="13">
        <v>4.5999999999999999E-2</v>
      </c>
      <c r="F193" s="13">
        <v>5.1499999999999997E-2</v>
      </c>
      <c r="G193" s="13">
        <v>0.05</v>
      </c>
      <c r="H193" s="13">
        <v>4.8399999999999999E-2</v>
      </c>
      <c r="I193" s="1366">
        <v>4.6300000000000001E-2</v>
      </c>
      <c r="J193" s="13">
        <v>5.7000000000000002E-2</v>
      </c>
      <c r="K193" s="13">
        <v>4.7311128394758512E-2</v>
      </c>
      <c r="L193" s="13">
        <v>5.6652027781189176E-2</v>
      </c>
      <c r="M193" s="13">
        <v>5.7000000000000002E-2</v>
      </c>
    </row>
    <row r="194" spans="1:13" x14ac:dyDescent="0.25">
      <c r="A194" s="1365">
        <v>0.86</v>
      </c>
      <c r="B194" s="13">
        <v>7.653626822530793E-2</v>
      </c>
      <c r="C194" s="13">
        <v>5.9691648554440063E-2</v>
      </c>
      <c r="D194" s="13">
        <v>5.7000000000000002E-2</v>
      </c>
      <c r="E194" s="13">
        <v>4.5999999999999999E-2</v>
      </c>
      <c r="F194" s="13">
        <v>5.1999999999999998E-2</v>
      </c>
      <c r="G194" s="13">
        <v>5.1999999999999998E-2</v>
      </c>
      <c r="H194" s="13">
        <v>4.9000000000000002E-2</v>
      </c>
      <c r="I194" s="1366">
        <v>4.6600000000000003E-2</v>
      </c>
      <c r="J194" s="13">
        <v>5.8000000000000003E-2</v>
      </c>
      <c r="K194" s="13">
        <v>4.7611913743595011E-2</v>
      </c>
      <c r="L194" s="13">
        <v>5.739433116599571E-2</v>
      </c>
      <c r="M194" s="13">
        <v>5.7000000000000002E-2</v>
      </c>
    </row>
    <row r="195" spans="1:13" x14ac:dyDescent="0.25">
      <c r="A195" s="1365">
        <v>0.87</v>
      </c>
      <c r="B195" s="13">
        <v>7.7840120904195786E-2</v>
      </c>
      <c r="C195" s="13">
        <v>5.9752870758085649E-2</v>
      </c>
      <c r="D195" s="13">
        <v>5.7000000000000002E-2</v>
      </c>
      <c r="E195" s="13">
        <v>4.7E-2</v>
      </c>
      <c r="F195" s="13">
        <v>5.2600000000000001E-2</v>
      </c>
      <c r="G195" s="13">
        <v>5.1999999999999998E-2</v>
      </c>
      <c r="H195" s="13">
        <v>4.9399999999999999E-2</v>
      </c>
      <c r="I195" s="1366">
        <v>4.7199999999999999E-2</v>
      </c>
      <c r="J195" s="13">
        <v>5.8000000000000003E-2</v>
      </c>
      <c r="K195" s="13">
        <v>4.8867238408561865E-2</v>
      </c>
      <c r="L195" s="13">
        <v>5.7725415845998149E-2</v>
      </c>
      <c r="M195" s="13">
        <v>5.8000000000000003E-2</v>
      </c>
    </row>
    <row r="196" spans="1:13" x14ac:dyDescent="0.25">
      <c r="A196" s="1365">
        <v>0.88</v>
      </c>
      <c r="B196" s="13">
        <v>7.93648046494317E-2</v>
      </c>
      <c r="C196" s="13">
        <v>6.0875391497294755E-2</v>
      </c>
      <c r="D196" s="13">
        <v>5.8000000000000003E-2</v>
      </c>
      <c r="E196" s="13">
        <v>4.7E-2</v>
      </c>
      <c r="F196" s="13">
        <v>5.3100000000000001E-2</v>
      </c>
      <c r="G196" s="13">
        <v>5.3999999999999999E-2</v>
      </c>
      <c r="H196" s="13">
        <v>4.9799999999999997E-2</v>
      </c>
      <c r="I196" s="1366">
        <v>4.7600000000000003E-2</v>
      </c>
      <c r="J196" s="13">
        <v>6.0999999999999999E-2</v>
      </c>
      <c r="K196" s="13">
        <v>5.0138885630577869E-2</v>
      </c>
      <c r="L196" s="13">
        <v>5.8160838751054683E-2</v>
      </c>
      <c r="M196" s="13">
        <v>5.8000000000000003E-2</v>
      </c>
    </row>
    <row r="197" spans="1:13" x14ac:dyDescent="0.25">
      <c r="A197" s="1365">
        <v>0.89</v>
      </c>
      <c r="B197" s="13">
        <v>8.1545181173187486E-2</v>
      </c>
      <c r="C197" s="13">
        <v>6.1454907537522842E-2</v>
      </c>
      <c r="D197" s="13">
        <v>5.8999999999999997E-2</v>
      </c>
      <c r="E197" s="13">
        <v>4.8000000000000001E-2</v>
      </c>
      <c r="F197" s="13">
        <v>5.3800000000000001E-2</v>
      </c>
      <c r="G197" s="13">
        <v>5.3999999999999999E-2</v>
      </c>
      <c r="H197" s="13">
        <v>5.0299999999999997E-2</v>
      </c>
      <c r="I197" s="1366">
        <v>4.82E-2</v>
      </c>
      <c r="J197" s="13">
        <v>6.0999999999999999E-2</v>
      </c>
      <c r="K197" s="13">
        <v>5.0836463256344687E-2</v>
      </c>
      <c r="L197" s="13">
        <v>5.923528850859399E-2</v>
      </c>
      <c r="M197" s="13">
        <v>5.8999999999999997E-2</v>
      </c>
    </row>
    <row r="198" spans="1:13" x14ac:dyDescent="0.25">
      <c r="A198" s="1365">
        <v>0.9</v>
      </c>
      <c r="B198" s="13">
        <v>8.4057868265155114E-2</v>
      </c>
      <c r="C198" s="13">
        <v>6.3063840420152228E-2</v>
      </c>
      <c r="D198" s="13">
        <v>0.06</v>
      </c>
      <c r="E198" s="13">
        <v>4.9000000000000002E-2</v>
      </c>
      <c r="F198" s="13">
        <v>5.45E-2</v>
      </c>
      <c r="G198" s="13">
        <v>5.7000000000000002E-2</v>
      </c>
      <c r="H198" s="13">
        <v>5.0799999999999998E-2</v>
      </c>
      <c r="I198" s="1366">
        <v>4.8899999999999999E-2</v>
      </c>
      <c r="J198" s="13">
        <v>6.3E-2</v>
      </c>
      <c r="K198" s="13">
        <v>5.1543302355151227E-2</v>
      </c>
      <c r="L198" s="13">
        <v>5.9575011713021049E-2</v>
      </c>
      <c r="M198" s="13">
        <v>5.8999999999999997E-2</v>
      </c>
    </row>
    <row r="199" spans="1:13" x14ac:dyDescent="0.25">
      <c r="A199" s="1365">
        <v>0.91</v>
      </c>
      <c r="B199" s="13">
        <v>8.5894904644904638E-2</v>
      </c>
      <c r="C199" s="13">
        <v>6.3201091953128327E-2</v>
      </c>
      <c r="D199" s="13">
        <v>0.06</v>
      </c>
      <c r="E199" s="13">
        <v>0.05</v>
      </c>
      <c r="F199" s="13">
        <v>5.5300000000000002E-2</v>
      </c>
      <c r="G199" s="13">
        <v>5.7000000000000002E-2</v>
      </c>
      <c r="H199" s="13">
        <v>5.1299999999999998E-2</v>
      </c>
      <c r="I199" s="1366">
        <v>4.99E-2</v>
      </c>
      <c r="J199" s="13">
        <v>6.3E-2</v>
      </c>
      <c r="K199" s="13">
        <v>5.2697383585664184E-2</v>
      </c>
      <c r="L199" s="13">
        <v>6.0520568777347739E-2</v>
      </c>
      <c r="M199" s="13">
        <v>6.0999999999999999E-2</v>
      </c>
    </row>
    <row r="200" spans="1:13" x14ac:dyDescent="0.25">
      <c r="A200" s="1365">
        <v>0.92</v>
      </c>
      <c r="B200" s="13">
        <v>8.8392506867682685E-2</v>
      </c>
      <c r="C200" s="13">
        <v>6.4655452483784431E-2</v>
      </c>
      <c r="D200" s="13">
        <v>6.0999999999999999E-2</v>
      </c>
      <c r="E200" s="13">
        <v>5.1999999999999998E-2</v>
      </c>
      <c r="F200" s="13">
        <v>5.6000000000000001E-2</v>
      </c>
      <c r="G200" s="13">
        <v>5.8000000000000003E-2</v>
      </c>
      <c r="H200" s="13">
        <v>5.16E-2</v>
      </c>
      <c r="I200" s="1366">
        <v>5.0999999999999997E-2</v>
      </c>
      <c r="J200" s="13">
        <v>6.7000000000000004E-2</v>
      </c>
      <c r="K200" s="13">
        <v>5.3513249297569516E-2</v>
      </c>
      <c r="L200" s="13">
        <v>6.0947672604396444E-2</v>
      </c>
      <c r="M200" s="13">
        <v>6.0999999999999999E-2</v>
      </c>
    </row>
    <row r="201" spans="1:13" x14ac:dyDescent="0.25">
      <c r="A201" s="1365">
        <v>0.93</v>
      </c>
      <c r="B201" s="13">
        <v>8.8507993267551446E-2</v>
      </c>
      <c r="C201" s="13">
        <v>6.691917789292362E-2</v>
      </c>
      <c r="D201" s="13">
        <v>6.3E-2</v>
      </c>
      <c r="E201" s="13">
        <v>5.2999999999999999E-2</v>
      </c>
      <c r="F201" s="13">
        <v>5.7000000000000002E-2</v>
      </c>
      <c r="G201" s="13">
        <v>5.8000000000000003E-2</v>
      </c>
      <c r="H201" s="13">
        <v>5.1999999999999998E-2</v>
      </c>
      <c r="I201" s="1366">
        <v>5.1900000000000002E-2</v>
      </c>
      <c r="J201" s="13">
        <v>6.7000000000000004E-2</v>
      </c>
      <c r="K201" s="13">
        <v>5.4491065579799471E-2</v>
      </c>
      <c r="L201" s="13">
        <v>6.1421922073415236E-2</v>
      </c>
      <c r="M201" s="13">
        <v>6.0999999999999999E-2</v>
      </c>
    </row>
    <row r="202" spans="1:13" x14ac:dyDescent="0.25">
      <c r="A202" s="1365">
        <v>0.94</v>
      </c>
      <c r="B202" s="13">
        <v>8.8892178731389521E-2</v>
      </c>
      <c r="C202" s="13">
        <v>6.9162317821826427E-2</v>
      </c>
      <c r="D202" s="13">
        <v>6.4000000000000001E-2</v>
      </c>
      <c r="E202" s="13">
        <v>5.6000000000000001E-2</v>
      </c>
      <c r="F202" s="13">
        <v>5.8099999999999999E-2</v>
      </c>
      <c r="G202" s="13">
        <v>6.0999999999999999E-2</v>
      </c>
      <c r="H202" s="13">
        <v>5.2299999999999999E-2</v>
      </c>
      <c r="I202" s="1366">
        <v>5.2400000000000002E-2</v>
      </c>
      <c r="J202" s="13">
        <v>6.9000000000000006E-2</v>
      </c>
      <c r="K202" s="13">
        <v>5.690898860325995E-2</v>
      </c>
      <c r="L202" s="13">
        <v>6.173357420539461E-2</v>
      </c>
      <c r="M202" s="13">
        <v>6.0999999999999999E-2</v>
      </c>
    </row>
    <row r="203" spans="1:13" x14ac:dyDescent="0.25">
      <c r="A203" s="1365">
        <v>0.95</v>
      </c>
      <c r="B203" s="13">
        <v>9.0897726460435466E-2</v>
      </c>
      <c r="C203" s="13">
        <v>7.0064274975743815E-2</v>
      </c>
      <c r="D203" s="13">
        <v>6.5000000000000002E-2</v>
      </c>
      <c r="E203" s="13">
        <v>5.7000000000000002E-2</v>
      </c>
      <c r="F203" s="13">
        <v>5.91E-2</v>
      </c>
      <c r="G203" s="13">
        <v>6.0999999999999999E-2</v>
      </c>
      <c r="H203" s="13">
        <v>5.3100000000000001E-2</v>
      </c>
      <c r="I203" s="1366">
        <v>5.33E-2</v>
      </c>
      <c r="J203" s="13">
        <v>7.0000000000000007E-2</v>
      </c>
      <c r="K203" s="13">
        <v>5.8092333804942796E-2</v>
      </c>
      <c r="L203" s="13">
        <v>6.1738545555584133E-2</v>
      </c>
      <c r="M203" s="13">
        <v>6.2E-2</v>
      </c>
    </row>
    <row r="204" spans="1:13" x14ac:dyDescent="0.25">
      <c r="A204" s="1365">
        <v>0.96</v>
      </c>
      <c r="B204" s="13">
        <v>9.3349407697270834E-2</v>
      </c>
      <c r="C204" s="13">
        <v>7.2213601421105306E-2</v>
      </c>
      <c r="D204" s="13">
        <v>6.7000000000000004E-2</v>
      </c>
      <c r="E204" s="13">
        <v>0.06</v>
      </c>
      <c r="F204" s="13">
        <v>6.0100000000000001E-2</v>
      </c>
      <c r="G204" s="13">
        <v>6.6000000000000003E-2</v>
      </c>
      <c r="H204" s="13">
        <v>5.3999999999999999E-2</v>
      </c>
      <c r="I204" s="1366">
        <v>5.3900000000000003E-2</v>
      </c>
      <c r="J204" s="13">
        <v>7.0999999999999994E-2</v>
      </c>
      <c r="K204" s="13">
        <v>5.9821369573418728E-2</v>
      </c>
      <c r="L204" s="13">
        <v>6.5085947054748003E-2</v>
      </c>
      <c r="M204" s="13">
        <v>6.2E-2</v>
      </c>
    </row>
    <row r="205" spans="1:13" x14ac:dyDescent="0.25">
      <c r="A205" s="1365">
        <v>0.97</v>
      </c>
      <c r="B205" s="13">
        <v>9.6608644493755488E-2</v>
      </c>
      <c r="C205" s="13">
        <v>7.3513707092895078E-2</v>
      </c>
      <c r="D205" s="13">
        <v>6.8000000000000005E-2</v>
      </c>
      <c r="E205" s="13">
        <v>6.3E-2</v>
      </c>
      <c r="F205" s="13">
        <v>6.08E-2</v>
      </c>
      <c r="G205" s="13">
        <v>6.6000000000000003E-2</v>
      </c>
      <c r="H205" s="13">
        <v>5.5800000000000002E-2</v>
      </c>
      <c r="I205" s="1366">
        <v>5.6000000000000001E-2</v>
      </c>
      <c r="J205" s="13">
        <v>7.3999999999999996E-2</v>
      </c>
      <c r="K205" s="13">
        <v>6.2326218023901356E-2</v>
      </c>
      <c r="L205" s="13">
        <v>6.8772188951795363E-2</v>
      </c>
      <c r="M205" s="13">
        <v>7.0999999999999994E-2</v>
      </c>
    </row>
    <row r="206" spans="1:13" x14ac:dyDescent="0.25">
      <c r="A206" s="1365">
        <v>0.98</v>
      </c>
      <c r="B206" s="13">
        <v>0.10321427746003986</v>
      </c>
      <c r="C206" s="13">
        <v>7.7387194307220908E-2</v>
      </c>
      <c r="D206" s="13">
        <v>7.0999999999999994E-2</v>
      </c>
      <c r="E206" s="13">
        <v>6.5000000000000002E-2</v>
      </c>
      <c r="F206" s="13">
        <v>6.2199999999999998E-2</v>
      </c>
      <c r="G206" s="13">
        <v>6.7000000000000004E-2</v>
      </c>
      <c r="H206" s="13">
        <v>5.7200000000000001E-2</v>
      </c>
      <c r="I206" s="1366">
        <v>5.7299999999999997E-2</v>
      </c>
      <c r="J206" s="13">
        <v>7.5999999999999998E-2</v>
      </c>
      <c r="K206" s="13">
        <v>6.6453464589083813E-2</v>
      </c>
      <c r="L206" s="13">
        <v>7.536993459126444E-2</v>
      </c>
      <c r="M206" s="13">
        <v>7.0999999999999994E-2</v>
      </c>
    </row>
    <row r="207" spans="1:13" x14ac:dyDescent="0.25">
      <c r="A207" s="1365">
        <v>0.99</v>
      </c>
      <c r="B207" s="13">
        <v>0.1085207956172423</v>
      </c>
      <c r="C207" s="13">
        <v>8.8506044304221779E-2</v>
      </c>
      <c r="D207" s="13">
        <v>7.3999999999999996E-2</v>
      </c>
      <c r="E207" s="13">
        <v>7.1999999999999995E-2</v>
      </c>
      <c r="F207" s="13">
        <v>6.4399999999999999E-2</v>
      </c>
      <c r="G207" s="13">
        <v>8.5000000000000006E-2</v>
      </c>
      <c r="H207" s="13">
        <v>5.8999999999999997E-2</v>
      </c>
      <c r="I207" s="1366">
        <v>5.8999999999999997E-2</v>
      </c>
      <c r="J207" s="13">
        <v>8.2000000000000003E-2</v>
      </c>
      <c r="K207" s="13">
        <v>7.2329902273689503E-2</v>
      </c>
      <c r="L207" s="13">
        <v>7.9386831545028833E-2</v>
      </c>
      <c r="M207" s="13">
        <v>8.4000000000000005E-2</v>
      </c>
    </row>
    <row r="208" spans="1:13" x14ac:dyDescent="0.25">
      <c r="A208" s="1365">
        <v>1</v>
      </c>
      <c r="B208" s="13">
        <v>0.1200899142042287</v>
      </c>
      <c r="C208" s="13">
        <v>9.6660391685772368E-2</v>
      </c>
      <c r="D208" s="13">
        <v>0.08</v>
      </c>
      <c r="E208" s="13">
        <v>8.1000000000000003E-2</v>
      </c>
      <c r="F208" s="13">
        <v>6.6600000000000006E-2</v>
      </c>
      <c r="G208" s="13">
        <v>9.0999999999999998E-2</v>
      </c>
      <c r="H208" s="13">
        <v>6.0400000000000002E-2</v>
      </c>
      <c r="I208" s="1366">
        <v>6.0199999999999997E-2</v>
      </c>
      <c r="J208" s="13">
        <v>0.1</v>
      </c>
      <c r="K208" s="13">
        <v>8.3366567875361341E-2</v>
      </c>
      <c r="L208" s="13">
        <v>9.0188640466516673E-2</v>
      </c>
      <c r="M208" s="13">
        <v>8.4000000000000005E-2</v>
      </c>
    </row>
    <row r="209" spans="1:13" x14ac:dyDescent="0.25">
      <c r="A209" s="1365" t="s">
        <v>1992</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1856</v>
      </c>
      <c r="B210" s="13" t="e">
        <f>AVERAGE('классы ЭЭ и выбросы ПГ'!$Y$47)</f>
        <v>#VALUE!</v>
      </c>
      <c r="C210" s="13" t="e">
        <f>B210</f>
        <v>#VALUE!</v>
      </c>
      <c r="D210" s="13" t="e">
        <f>AVERAGE('классы ЭЭ и выбросы ПГ'!$Z$47:$AA$47)</f>
        <v>#VALUE!</v>
      </c>
      <c r="E210" s="13" t="e">
        <f>D210</f>
        <v>#VALUE!</v>
      </c>
      <c r="F210" s="13" t="e">
        <f>AVERAGE('классы ЭЭ и выбросы ПГ'!$AB$47:$AC$47)</f>
        <v>#VALUE!</v>
      </c>
      <c r="G210" s="13" t="e">
        <f>F210</f>
        <v>#VALUE!</v>
      </c>
      <c r="H210" s="13" t="e">
        <f>AVERAGE('классы ЭЭ и выбросы ПГ'!$AD$47:$AE$47)</f>
        <v>#VALUE!</v>
      </c>
      <c r="I210" s="13" t="e">
        <f>H210</f>
        <v>#VALUE!</v>
      </c>
      <c r="J210" s="13" t="e">
        <f>AVERAGE('классы ЭЭ и выбросы ПГ'!$AF$47:$AG$47)</f>
        <v>#VALUE!</v>
      </c>
      <c r="K210" s="13" t="e">
        <f>J210</f>
        <v>#VALUE!</v>
      </c>
      <c r="L210" s="13" t="e">
        <f>AVERAGE('классы ЭЭ и выбросы ПГ'!$AH$47:$AN$47)</f>
        <v>#VALUE!</v>
      </c>
      <c r="M210" s="13" t="e">
        <f>L210</f>
        <v>#VALUE!</v>
      </c>
    </row>
    <row r="211" spans="1:13" x14ac:dyDescent="0.25">
      <c r="A211" s="13" t="s">
        <v>1855</v>
      </c>
      <c r="B211" s="13" t="e">
        <f>0.4*B210</f>
        <v>#VALUE!</v>
      </c>
      <c r="C211" s="13" t="e">
        <f t="shared" ref="C211:M211" si="39">0.4*C210</f>
        <v>#VALUE!</v>
      </c>
      <c r="D211" s="13" t="e">
        <f t="shared" si="39"/>
        <v>#VALUE!</v>
      </c>
      <c r="E211" s="13" t="e">
        <f t="shared" si="39"/>
        <v>#VALUE!</v>
      </c>
      <c r="F211" s="13" t="e">
        <f t="shared" si="39"/>
        <v>#VALUE!</v>
      </c>
      <c r="G211" s="13" t="e">
        <f t="shared" si="39"/>
        <v>#VALUE!</v>
      </c>
      <c r="H211" s="13" t="e">
        <f t="shared" si="39"/>
        <v>#VALUE!</v>
      </c>
      <c r="I211" s="13" t="e">
        <f t="shared" si="39"/>
        <v>#VALUE!</v>
      </c>
      <c r="J211" s="13" t="e">
        <f t="shared" si="39"/>
        <v>#VALUE!</v>
      </c>
      <c r="K211" s="13" t="e">
        <f t="shared" si="39"/>
        <v>#VALUE!</v>
      </c>
      <c r="L211" s="13" t="e">
        <f t="shared" si="39"/>
        <v>#VALUE!</v>
      </c>
      <c r="M211" s="13" t="e">
        <f t="shared" si="39"/>
        <v>#VALUE!</v>
      </c>
    </row>
    <row r="212" spans="1:13" x14ac:dyDescent="0.25">
      <c r="A212" s="13"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3" x14ac:dyDescent="0.25">
      <c r="A213" s="1365">
        <v>0</v>
      </c>
      <c r="B213" s="13">
        <v>17.5</v>
      </c>
      <c r="C213" s="1375">
        <f>E213</f>
        <v>13</v>
      </c>
      <c r="D213" s="1375">
        <v>25.87</v>
      </c>
      <c r="E213" s="1375">
        <v>13</v>
      </c>
      <c r="F213" s="13">
        <v>25.87</v>
      </c>
      <c r="G213" s="13">
        <v>13</v>
      </c>
      <c r="H213" s="13">
        <v>26.59</v>
      </c>
      <c r="I213" s="1366">
        <v>25.67</v>
      </c>
      <c r="J213" s="13">
        <v>21.8</v>
      </c>
      <c r="K213" s="13">
        <v>19.302686663441381</v>
      </c>
      <c r="L213" s="13">
        <v>12.652695903578268</v>
      </c>
      <c r="M213" s="13">
        <v>12.652695903578268</v>
      </c>
    </row>
    <row r="214" spans="1:13" x14ac:dyDescent="0.25">
      <c r="A214" s="1365">
        <v>0.01</v>
      </c>
      <c r="B214" s="13">
        <v>17.7</v>
      </c>
      <c r="C214" s="1375">
        <f t="shared" ref="C214:C277" si="40">E214</f>
        <v>13.8</v>
      </c>
      <c r="D214" s="1375">
        <v>27.43</v>
      </c>
      <c r="E214" s="1375">
        <v>13.8</v>
      </c>
      <c r="F214" s="13">
        <v>27.43</v>
      </c>
      <c r="G214" s="13">
        <v>13.8</v>
      </c>
      <c r="H214" s="13">
        <v>28.27</v>
      </c>
      <c r="I214" s="1366">
        <v>25.95</v>
      </c>
      <c r="J214" s="13">
        <v>21.8</v>
      </c>
      <c r="K214" s="13">
        <v>19.302686663441381</v>
      </c>
      <c r="L214" s="13">
        <v>12.652695903578268</v>
      </c>
      <c r="M214" s="13">
        <v>12.652695903578268</v>
      </c>
    </row>
    <row r="215" spans="1:13" x14ac:dyDescent="0.25">
      <c r="A215" s="1365">
        <v>0.02</v>
      </c>
      <c r="B215" s="13">
        <v>19.399999999999999</v>
      </c>
      <c r="C215" s="1375">
        <f t="shared" si="40"/>
        <v>13.9</v>
      </c>
      <c r="D215" s="1375">
        <v>29.24</v>
      </c>
      <c r="E215" s="1375">
        <v>13.9</v>
      </c>
      <c r="F215" s="13">
        <v>29.24</v>
      </c>
      <c r="G215" s="13">
        <v>13.9</v>
      </c>
      <c r="H215" s="13">
        <v>31.79</v>
      </c>
      <c r="I215" s="1366">
        <v>26.35</v>
      </c>
      <c r="J215" s="13">
        <v>21.8</v>
      </c>
      <c r="K215" s="13">
        <v>19.902212443466571</v>
      </c>
      <c r="L215" s="13">
        <v>21.256977347397545</v>
      </c>
      <c r="M215" s="13">
        <v>21.256977347397545</v>
      </c>
    </row>
    <row r="216" spans="1:13" x14ac:dyDescent="0.25">
      <c r="A216" s="1365">
        <v>0.03</v>
      </c>
      <c r="B216" s="13">
        <v>20.7</v>
      </c>
      <c r="C216" s="1375">
        <f t="shared" si="40"/>
        <v>15.3</v>
      </c>
      <c r="D216" s="1375">
        <v>31.03</v>
      </c>
      <c r="E216" s="1375">
        <v>15.3</v>
      </c>
      <c r="F216" s="13">
        <v>31.03</v>
      </c>
      <c r="G216" s="13">
        <v>15.3</v>
      </c>
      <c r="H216" s="13">
        <v>34.49</v>
      </c>
      <c r="I216" s="1366">
        <v>26.67</v>
      </c>
      <c r="J216" s="13">
        <v>29.6</v>
      </c>
      <c r="K216" s="13">
        <v>21.826650150722426</v>
      </c>
      <c r="L216" s="13">
        <v>23.142820727040728</v>
      </c>
      <c r="M216" s="13">
        <v>23.142820727040728</v>
      </c>
    </row>
    <row r="217" spans="1:13" x14ac:dyDescent="0.25">
      <c r="A217" s="1365">
        <v>0.04</v>
      </c>
      <c r="B217" s="13">
        <v>23</v>
      </c>
      <c r="C217" s="1375">
        <f t="shared" si="40"/>
        <v>16.3</v>
      </c>
      <c r="D217" s="1375">
        <v>33.21</v>
      </c>
      <c r="E217" s="1375">
        <v>16.3</v>
      </c>
      <c r="F217" s="13">
        <v>33.21</v>
      </c>
      <c r="G217" s="13">
        <v>16.3</v>
      </c>
      <c r="H217" s="13">
        <v>37.229999999999997</v>
      </c>
      <c r="I217" s="1366">
        <v>27.34</v>
      </c>
      <c r="J217" s="13">
        <v>29.6</v>
      </c>
      <c r="K217" s="13">
        <v>23.154899745834509</v>
      </c>
      <c r="L217" s="13">
        <v>26.592787674317652</v>
      </c>
      <c r="M217" s="13">
        <v>26.592787674317652</v>
      </c>
    </row>
    <row r="218" spans="1:13" x14ac:dyDescent="0.25">
      <c r="A218" s="1365">
        <v>0.05</v>
      </c>
      <c r="B218" s="13">
        <v>24.4</v>
      </c>
      <c r="C218" s="1375">
        <f t="shared" si="40"/>
        <v>16.5</v>
      </c>
      <c r="D218" s="1375">
        <v>34.26</v>
      </c>
      <c r="E218" s="1375">
        <v>16.5</v>
      </c>
      <c r="F218" s="13">
        <v>34.26</v>
      </c>
      <c r="G218" s="13">
        <v>16.5</v>
      </c>
      <c r="H218" s="13">
        <v>39.659999999999997</v>
      </c>
      <c r="I218" s="1366">
        <v>27.62</v>
      </c>
      <c r="J218" s="13">
        <v>34.5</v>
      </c>
      <c r="K218" s="13">
        <v>26.023874749247742</v>
      </c>
      <c r="L218" s="13">
        <v>33.388413706599771</v>
      </c>
      <c r="M218" s="13">
        <v>33.388413706599771</v>
      </c>
    </row>
    <row r="219" spans="1:13" x14ac:dyDescent="0.25">
      <c r="A219" s="1365">
        <v>0.06</v>
      </c>
      <c r="B219" s="13">
        <v>26.9</v>
      </c>
      <c r="C219" s="1375">
        <f t="shared" si="40"/>
        <v>18.2</v>
      </c>
      <c r="D219" s="1375">
        <v>35.880000000000003</v>
      </c>
      <c r="E219" s="1375">
        <v>18.2</v>
      </c>
      <c r="F219" s="13">
        <v>35.880000000000003</v>
      </c>
      <c r="G219" s="13">
        <v>18.2</v>
      </c>
      <c r="H219" s="13">
        <v>41.32</v>
      </c>
      <c r="I219" s="1366">
        <v>28</v>
      </c>
      <c r="J219" s="13">
        <v>34.5</v>
      </c>
      <c r="K219" s="13">
        <v>26.997302214693516</v>
      </c>
      <c r="L219" s="13">
        <v>36.863434737256114</v>
      </c>
      <c r="M219" s="13">
        <v>36.863434737256114</v>
      </c>
    </row>
    <row r="220" spans="1:13" x14ac:dyDescent="0.25">
      <c r="A220" s="1365">
        <v>7.0000000000000007E-2</v>
      </c>
      <c r="B220" s="13">
        <v>26.9</v>
      </c>
      <c r="C220" s="1375">
        <f t="shared" si="40"/>
        <v>18.5</v>
      </c>
      <c r="D220" s="1375">
        <v>37.03</v>
      </c>
      <c r="E220" s="1375">
        <v>18.5</v>
      </c>
      <c r="F220" s="13">
        <v>37.03</v>
      </c>
      <c r="G220" s="13">
        <v>18.5</v>
      </c>
      <c r="H220" s="13">
        <v>42.39</v>
      </c>
      <c r="I220" s="1366">
        <v>28.35</v>
      </c>
      <c r="J220" s="13">
        <v>34.5</v>
      </c>
      <c r="K220" s="13">
        <v>27.957884492964652</v>
      </c>
      <c r="L220" s="13">
        <v>44.664575656634142</v>
      </c>
      <c r="M220" s="13">
        <v>44.664575656634142</v>
      </c>
    </row>
    <row r="221" spans="1:13" x14ac:dyDescent="0.25">
      <c r="A221" s="1365">
        <v>0.08</v>
      </c>
      <c r="B221" s="13">
        <v>29.8</v>
      </c>
      <c r="C221" s="1375">
        <f t="shared" si="40"/>
        <v>20.2</v>
      </c>
      <c r="D221" s="1375">
        <v>39.380000000000003</v>
      </c>
      <c r="E221" s="1375">
        <v>20.2</v>
      </c>
      <c r="F221" s="13">
        <v>39.380000000000003</v>
      </c>
      <c r="G221" s="13">
        <v>20.2</v>
      </c>
      <c r="H221" s="13">
        <v>43.32</v>
      </c>
      <c r="I221" s="1366">
        <v>28.99</v>
      </c>
      <c r="J221" s="13">
        <v>37.1</v>
      </c>
      <c r="K221" s="13">
        <v>28.202084405840274</v>
      </c>
      <c r="L221" s="13">
        <v>45.697145030237827</v>
      </c>
      <c r="M221" s="13">
        <v>45.697145030237827</v>
      </c>
    </row>
    <row r="222" spans="1:13" x14ac:dyDescent="0.25">
      <c r="A222" s="1365">
        <v>0.09</v>
      </c>
      <c r="B222" s="13">
        <v>29.8</v>
      </c>
      <c r="C222" s="1375">
        <f t="shared" si="40"/>
        <v>25.4</v>
      </c>
      <c r="D222" s="1375">
        <v>40.81</v>
      </c>
      <c r="E222" s="1375">
        <v>25.4</v>
      </c>
      <c r="F222" s="13">
        <v>40.81</v>
      </c>
      <c r="G222" s="13">
        <v>25.4</v>
      </c>
      <c r="H222" s="13">
        <v>44.07</v>
      </c>
      <c r="I222" s="1366">
        <v>29.36</v>
      </c>
      <c r="J222" s="13">
        <v>37.1</v>
      </c>
      <c r="K222" s="13">
        <v>28.69296645540269</v>
      </c>
      <c r="L222" s="13">
        <v>47.631190056167242</v>
      </c>
      <c r="M222" s="13">
        <v>47.631190056167242</v>
      </c>
    </row>
    <row r="223" spans="1:13" x14ac:dyDescent="0.25">
      <c r="A223" s="1365">
        <v>0.1</v>
      </c>
      <c r="B223" s="13">
        <v>33</v>
      </c>
      <c r="C223" s="1375">
        <f t="shared" si="40"/>
        <v>25.55</v>
      </c>
      <c r="D223" s="1375">
        <v>43.01</v>
      </c>
      <c r="E223" s="1375">
        <v>25.55</v>
      </c>
      <c r="F223" s="13">
        <v>43.01</v>
      </c>
      <c r="G223" s="13">
        <v>25.55</v>
      </c>
      <c r="H223" s="13">
        <v>44.99</v>
      </c>
      <c r="I223" s="1366">
        <v>29.59</v>
      </c>
      <c r="J223" s="13">
        <v>40.700000000000003</v>
      </c>
      <c r="K223" s="13">
        <v>29.386786638727969</v>
      </c>
      <c r="L223" s="13">
        <v>49.886683377516476</v>
      </c>
      <c r="M223" s="13">
        <v>49.886683377516476</v>
      </c>
    </row>
    <row r="224" spans="1:13" x14ac:dyDescent="0.25">
      <c r="A224" s="1365">
        <v>0.11</v>
      </c>
      <c r="B224" s="13">
        <v>33</v>
      </c>
      <c r="C224" s="1375">
        <f t="shared" si="40"/>
        <v>27</v>
      </c>
      <c r="D224" s="1375">
        <v>43.7</v>
      </c>
      <c r="E224" s="1375">
        <v>27</v>
      </c>
      <c r="F224" s="13">
        <v>43.7</v>
      </c>
      <c r="G224" s="13">
        <v>27</v>
      </c>
      <c r="H224" s="13">
        <v>46</v>
      </c>
      <c r="I224" s="1366">
        <v>30.02</v>
      </c>
      <c r="J224" s="13">
        <v>40.700000000000003</v>
      </c>
      <c r="K224" s="13">
        <v>30.859572346554398</v>
      </c>
      <c r="L224" s="13">
        <v>53.812123431310546</v>
      </c>
      <c r="M224" s="13">
        <v>53.812123431310546</v>
      </c>
    </row>
    <row r="225" spans="1:13" x14ac:dyDescent="0.25">
      <c r="A225" s="1365">
        <v>0.12</v>
      </c>
      <c r="B225" s="13">
        <v>36.700000000000003</v>
      </c>
      <c r="C225" s="1375">
        <f t="shared" si="40"/>
        <v>27.2</v>
      </c>
      <c r="D225" s="1375">
        <v>44.43</v>
      </c>
      <c r="E225" s="1375">
        <v>27.2</v>
      </c>
      <c r="F225" s="13">
        <v>44.43</v>
      </c>
      <c r="G225" s="13">
        <v>27.2</v>
      </c>
      <c r="H225" s="13">
        <v>46.8</v>
      </c>
      <c r="I225" s="1366">
        <v>30.36</v>
      </c>
      <c r="J225" s="13">
        <v>43.8</v>
      </c>
      <c r="K225" s="13">
        <v>31.334967525665199</v>
      </c>
      <c r="L225" s="13">
        <v>57.092073390712777</v>
      </c>
      <c r="M225" s="13">
        <v>56.897633608082955</v>
      </c>
    </row>
    <row r="226" spans="1:13" x14ac:dyDescent="0.25">
      <c r="A226" s="1365">
        <v>0.13</v>
      </c>
      <c r="B226" s="13">
        <v>36.700000000000003</v>
      </c>
      <c r="C226" s="1375">
        <f t="shared" si="40"/>
        <v>28.1</v>
      </c>
      <c r="D226" s="1375">
        <v>45.09</v>
      </c>
      <c r="E226" s="1375">
        <v>28.1</v>
      </c>
      <c r="F226" s="13">
        <v>45.09</v>
      </c>
      <c r="G226" s="13">
        <v>28.1</v>
      </c>
      <c r="H226" s="13">
        <v>47.38</v>
      </c>
      <c r="I226" s="1366">
        <v>30.58</v>
      </c>
      <c r="J226" s="13">
        <v>43.8</v>
      </c>
      <c r="K226" s="13">
        <v>31.933591400284485</v>
      </c>
      <c r="L226" s="13">
        <v>59.139134340088695</v>
      </c>
      <c r="M226" s="13">
        <v>57.819445386587795</v>
      </c>
    </row>
    <row r="227" spans="1:13" x14ac:dyDescent="0.25">
      <c r="A227" s="1365">
        <v>0.14000000000000001</v>
      </c>
      <c r="B227" s="13">
        <v>39.299999999999997</v>
      </c>
      <c r="C227" s="1375">
        <f t="shared" si="40"/>
        <v>28.5</v>
      </c>
      <c r="D227" s="1375">
        <v>46.65</v>
      </c>
      <c r="E227" s="1375">
        <v>28.5</v>
      </c>
      <c r="F227" s="13">
        <v>46.65</v>
      </c>
      <c r="G227" s="13">
        <v>28.5</v>
      </c>
      <c r="H227" s="13">
        <v>48.26</v>
      </c>
      <c r="I227" s="1366">
        <v>30.9</v>
      </c>
      <c r="J227" s="13">
        <v>45.6</v>
      </c>
      <c r="K227" s="13">
        <v>32.757638713057148</v>
      </c>
      <c r="L227" s="13">
        <v>60.084877326034004</v>
      </c>
      <c r="M227" s="13">
        <v>59.801812746556735</v>
      </c>
    </row>
    <row r="228" spans="1:13" x14ac:dyDescent="0.25">
      <c r="A228" s="1365">
        <v>0.15</v>
      </c>
      <c r="B228" s="13">
        <v>39.299999999999997</v>
      </c>
      <c r="C228" s="1375">
        <f t="shared" si="40"/>
        <v>28.6</v>
      </c>
      <c r="D228" s="1375">
        <v>48.2</v>
      </c>
      <c r="E228" s="1375">
        <v>28.6</v>
      </c>
      <c r="F228" s="13">
        <v>48.2</v>
      </c>
      <c r="G228" s="13">
        <v>28.6</v>
      </c>
      <c r="H228" s="13">
        <v>48.79</v>
      </c>
      <c r="I228" s="1366">
        <v>31.33</v>
      </c>
      <c r="J228" s="13">
        <v>45.6</v>
      </c>
      <c r="K228" s="13">
        <v>33.765216579536968</v>
      </c>
      <c r="L228" s="13">
        <v>61.928230022404776</v>
      </c>
      <c r="M228" s="13">
        <v>61.928230022404776</v>
      </c>
    </row>
    <row r="229" spans="1:13" x14ac:dyDescent="0.25">
      <c r="A229" s="1365">
        <v>0.16</v>
      </c>
      <c r="B229" s="13">
        <v>42.2</v>
      </c>
      <c r="C229" s="1375">
        <f t="shared" si="40"/>
        <v>28.7</v>
      </c>
      <c r="D229" s="1375">
        <v>49.74</v>
      </c>
      <c r="E229" s="1375">
        <v>28.7</v>
      </c>
      <c r="F229" s="13">
        <v>49.74</v>
      </c>
      <c r="G229" s="13">
        <v>28.7</v>
      </c>
      <c r="H229" s="13">
        <v>49.79</v>
      </c>
      <c r="I229" s="1366">
        <v>31.68</v>
      </c>
      <c r="J229" s="13">
        <v>47.4</v>
      </c>
      <c r="K229" s="13">
        <v>34.746847017448935</v>
      </c>
      <c r="L229" s="13">
        <v>63.309953442243597</v>
      </c>
      <c r="M229" s="13">
        <v>64.520453318942259</v>
      </c>
    </row>
    <row r="230" spans="1:13" x14ac:dyDescent="0.25">
      <c r="A230" s="1365">
        <v>0.17</v>
      </c>
      <c r="B230" s="13">
        <v>42.2</v>
      </c>
      <c r="C230" s="1375">
        <f t="shared" si="40"/>
        <v>30.2</v>
      </c>
      <c r="D230" s="1375">
        <v>50.41</v>
      </c>
      <c r="E230" s="1375">
        <v>30.2</v>
      </c>
      <c r="F230" s="13">
        <v>50.41</v>
      </c>
      <c r="G230" s="13">
        <v>30.2</v>
      </c>
      <c r="H230" s="13">
        <v>50.66</v>
      </c>
      <c r="I230" s="1366">
        <v>32.08</v>
      </c>
      <c r="J230" s="13">
        <v>47.4</v>
      </c>
      <c r="K230" s="13">
        <v>36.145625581704564</v>
      </c>
      <c r="L230" s="13">
        <v>64.658885772565029</v>
      </c>
      <c r="M230" s="13">
        <v>64.784788878634046</v>
      </c>
    </row>
    <row r="231" spans="1:13" x14ac:dyDescent="0.25">
      <c r="A231" s="1365">
        <v>0.18</v>
      </c>
      <c r="B231" s="13">
        <v>44.6</v>
      </c>
      <c r="C231" s="1375">
        <f t="shared" si="40"/>
        <v>31.2</v>
      </c>
      <c r="D231" s="1375">
        <v>51.37</v>
      </c>
      <c r="E231" s="1375">
        <v>31.2</v>
      </c>
      <c r="F231" s="13">
        <v>51.37</v>
      </c>
      <c r="G231" s="13">
        <v>31.2</v>
      </c>
      <c r="H231" s="13">
        <v>51.09</v>
      </c>
      <c r="I231" s="1366">
        <v>32.64</v>
      </c>
      <c r="J231" s="13">
        <v>49.4</v>
      </c>
      <c r="K231" s="13">
        <v>36.355215234162152</v>
      </c>
      <c r="L231" s="13">
        <v>65.188425581202949</v>
      </c>
      <c r="M231" s="13">
        <v>65.227500000000006</v>
      </c>
    </row>
    <row r="232" spans="1:13" x14ac:dyDescent="0.25">
      <c r="A232" s="1365">
        <v>0.19</v>
      </c>
      <c r="B232" s="13">
        <v>44.6</v>
      </c>
      <c r="C232" s="1375">
        <f t="shared" si="40"/>
        <v>31.9</v>
      </c>
      <c r="D232" s="1375">
        <v>52.03</v>
      </c>
      <c r="E232" s="1375">
        <v>31.9</v>
      </c>
      <c r="F232" s="13">
        <v>52.03</v>
      </c>
      <c r="G232" s="13">
        <v>31.9</v>
      </c>
      <c r="H232" s="13">
        <v>51.57</v>
      </c>
      <c r="I232" s="1366">
        <v>33.32</v>
      </c>
      <c r="J232" s="13">
        <v>49.4</v>
      </c>
      <c r="K232" s="13">
        <v>37.059246242955538</v>
      </c>
      <c r="L232" s="13">
        <v>66.355471562275014</v>
      </c>
      <c r="M232" s="13">
        <v>66.445253626180062</v>
      </c>
    </row>
    <row r="233" spans="1:13" x14ac:dyDescent="0.25">
      <c r="A233" s="1365">
        <v>0.2</v>
      </c>
      <c r="B233" s="13">
        <v>46</v>
      </c>
      <c r="C233" s="1375">
        <f t="shared" si="40"/>
        <v>32.4</v>
      </c>
      <c r="D233" s="1375">
        <v>53.09</v>
      </c>
      <c r="E233" s="1375">
        <v>32.4</v>
      </c>
      <c r="F233" s="13">
        <v>53.09</v>
      </c>
      <c r="G233" s="13">
        <v>32.4</v>
      </c>
      <c r="H233" s="13">
        <v>51.92</v>
      </c>
      <c r="I233" s="1366">
        <v>33.78</v>
      </c>
      <c r="J233" s="13">
        <v>51.7</v>
      </c>
      <c r="K233" s="13">
        <v>37.85368094328075</v>
      </c>
      <c r="L233" s="13">
        <v>67.755209969909203</v>
      </c>
      <c r="M233" s="13">
        <v>69.248618899273112</v>
      </c>
    </row>
    <row r="234" spans="1:13" x14ac:dyDescent="0.25">
      <c r="A234" s="1365">
        <v>0.21</v>
      </c>
      <c r="B234" s="13">
        <v>46</v>
      </c>
      <c r="C234" s="1375">
        <f t="shared" si="40"/>
        <v>33.299999999999997</v>
      </c>
      <c r="D234" s="1375">
        <v>53.56</v>
      </c>
      <c r="E234" s="1375">
        <v>33.299999999999997</v>
      </c>
      <c r="F234" s="13">
        <v>53.56</v>
      </c>
      <c r="G234" s="13">
        <v>33.299999999999997</v>
      </c>
      <c r="H234" s="13">
        <v>52.85</v>
      </c>
      <c r="I234" s="1366">
        <v>34.29</v>
      </c>
      <c r="J234" s="13">
        <v>51.7</v>
      </c>
      <c r="K234" s="13">
        <v>38.45562330933933</v>
      </c>
      <c r="L234" s="13">
        <v>69.335361381734543</v>
      </c>
      <c r="M234" s="13">
        <v>69.432407458184812</v>
      </c>
    </row>
    <row r="235" spans="1:13" x14ac:dyDescent="0.25">
      <c r="A235" s="1365">
        <v>0.22</v>
      </c>
      <c r="B235" s="13">
        <v>47.3</v>
      </c>
      <c r="C235" s="1375">
        <f t="shared" si="40"/>
        <v>33.4</v>
      </c>
      <c r="D235" s="1375">
        <v>54.36</v>
      </c>
      <c r="E235" s="1375">
        <v>33.4</v>
      </c>
      <c r="F235" s="13">
        <v>54.36</v>
      </c>
      <c r="G235" s="13">
        <v>33.4</v>
      </c>
      <c r="H235" s="13">
        <v>53.62</v>
      </c>
      <c r="I235" s="1366">
        <v>34.9</v>
      </c>
      <c r="J235" s="13">
        <v>54.2</v>
      </c>
      <c r="K235" s="13">
        <v>39.017669108877158</v>
      </c>
      <c r="L235" s="13">
        <v>69.523841089534031</v>
      </c>
      <c r="M235" s="13">
        <v>70.024383389574311</v>
      </c>
    </row>
    <row r="236" spans="1:13" x14ac:dyDescent="0.25">
      <c r="A236" s="1365">
        <v>0.23</v>
      </c>
      <c r="B236" s="13">
        <v>47.3</v>
      </c>
      <c r="C236" s="1375">
        <f t="shared" si="40"/>
        <v>33.700000000000003</v>
      </c>
      <c r="D236" s="1375">
        <v>55.19</v>
      </c>
      <c r="E236" s="1375">
        <v>33.700000000000003</v>
      </c>
      <c r="F236" s="13">
        <v>55.19</v>
      </c>
      <c r="G236" s="13">
        <v>33.700000000000003</v>
      </c>
      <c r="H236" s="13">
        <v>54.18</v>
      </c>
      <c r="I236" s="1366">
        <v>35.72</v>
      </c>
      <c r="J236" s="13">
        <v>54.2</v>
      </c>
      <c r="K236" s="13">
        <v>39.160289342315707</v>
      </c>
      <c r="L236" s="13">
        <v>71.016278695078796</v>
      </c>
      <c r="M236" s="13">
        <v>71.305321905521225</v>
      </c>
    </row>
    <row r="237" spans="1:13" x14ac:dyDescent="0.25">
      <c r="A237" s="1365">
        <v>0.24</v>
      </c>
      <c r="B237" s="13">
        <v>48.9</v>
      </c>
      <c r="C237" s="1375">
        <f t="shared" si="40"/>
        <v>34.5</v>
      </c>
      <c r="D237" s="1375">
        <v>56.04</v>
      </c>
      <c r="E237" s="1375">
        <v>34.5</v>
      </c>
      <c r="F237" s="13">
        <v>56.04</v>
      </c>
      <c r="G237" s="13">
        <v>34.5</v>
      </c>
      <c r="H237" s="13">
        <v>54.84</v>
      </c>
      <c r="I237" s="1366">
        <v>36.39</v>
      </c>
      <c r="J237" s="13">
        <v>55.8</v>
      </c>
      <c r="K237" s="13">
        <v>39.757334774224994</v>
      </c>
      <c r="L237" s="13">
        <v>73.133301702693416</v>
      </c>
      <c r="M237" s="13">
        <v>73.428162218791357</v>
      </c>
    </row>
    <row r="238" spans="1:13" x14ac:dyDescent="0.25">
      <c r="A238" s="1365">
        <v>0.25</v>
      </c>
      <c r="B238" s="13">
        <v>48.9</v>
      </c>
      <c r="C238" s="1375">
        <f t="shared" si="40"/>
        <v>34.799999999999997</v>
      </c>
      <c r="D238" s="1375">
        <v>57.15</v>
      </c>
      <c r="E238" s="1375">
        <v>34.799999999999997</v>
      </c>
      <c r="F238" s="13">
        <v>57.15</v>
      </c>
      <c r="G238" s="13">
        <v>34.799999999999997</v>
      </c>
      <c r="H238" s="13">
        <v>55.38</v>
      </c>
      <c r="I238" s="1366">
        <v>36.82</v>
      </c>
      <c r="J238" s="13">
        <v>55.8</v>
      </c>
      <c r="K238" s="13">
        <v>40.853815205758671</v>
      </c>
      <c r="L238" s="13">
        <v>73.751603357346596</v>
      </c>
      <c r="M238" s="13">
        <v>75.43063187695472</v>
      </c>
    </row>
    <row r="239" spans="1:13" x14ac:dyDescent="0.25">
      <c r="A239" s="1365">
        <v>0.26</v>
      </c>
      <c r="B239" s="13">
        <v>50.6</v>
      </c>
      <c r="C239" s="1375">
        <f t="shared" si="40"/>
        <v>34.799999999999997</v>
      </c>
      <c r="D239" s="1375">
        <v>57.82</v>
      </c>
      <c r="E239" s="1375">
        <v>34.799999999999997</v>
      </c>
      <c r="F239" s="13">
        <v>57.82</v>
      </c>
      <c r="G239" s="13">
        <v>34.799999999999997</v>
      </c>
      <c r="H239" s="13">
        <v>55.83</v>
      </c>
      <c r="I239" s="1366">
        <v>37.200000000000003</v>
      </c>
      <c r="J239" s="13">
        <v>57.5</v>
      </c>
      <c r="K239" s="13">
        <v>41.462009531838177</v>
      </c>
      <c r="L239" s="13">
        <v>75.43063187695472</v>
      </c>
      <c r="M239" s="13">
        <v>75.742859240119785</v>
      </c>
    </row>
    <row r="240" spans="1:13" x14ac:dyDescent="0.25">
      <c r="A240" s="1365">
        <v>0.27</v>
      </c>
      <c r="B240" s="13">
        <v>50.6</v>
      </c>
      <c r="C240" s="1375">
        <f t="shared" si="40"/>
        <v>35.299999999999997</v>
      </c>
      <c r="D240" s="1375">
        <v>58.72</v>
      </c>
      <c r="E240" s="1375">
        <v>35.299999999999997</v>
      </c>
      <c r="F240" s="13">
        <v>58.72</v>
      </c>
      <c r="G240" s="13">
        <v>35.299999999999997</v>
      </c>
      <c r="H240" s="13">
        <v>56.27</v>
      </c>
      <c r="I240" s="1366">
        <v>37.56</v>
      </c>
      <c r="J240" s="13">
        <v>57.5</v>
      </c>
      <c r="K240" s="13">
        <v>41.942001778480382</v>
      </c>
      <c r="L240" s="13">
        <v>75.742859240119785</v>
      </c>
      <c r="M240" s="13">
        <v>75.916901214886479</v>
      </c>
    </row>
    <row r="241" spans="1:13" x14ac:dyDescent="0.25">
      <c r="A241" s="1365">
        <v>0.28000000000000003</v>
      </c>
      <c r="B241" s="13">
        <v>52</v>
      </c>
      <c r="C241" s="1375">
        <f t="shared" si="40"/>
        <v>35.799999999999997</v>
      </c>
      <c r="D241" s="1375">
        <v>59.56</v>
      </c>
      <c r="E241" s="1375">
        <v>35.799999999999997</v>
      </c>
      <c r="F241" s="13">
        <v>59.56</v>
      </c>
      <c r="G241" s="13">
        <v>35.799999999999997</v>
      </c>
      <c r="H241" s="13">
        <v>56.72</v>
      </c>
      <c r="I241" s="1366">
        <v>37.840000000000003</v>
      </c>
      <c r="J241" s="13">
        <v>58.8</v>
      </c>
      <c r="K241" s="13">
        <v>42.763830168151706</v>
      </c>
      <c r="L241" s="13">
        <v>75.916901214886479</v>
      </c>
      <c r="M241" s="13">
        <v>77.124003201951652</v>
      </c>
    </row>
    <row r="242" spans="1:13" x14ac:dyDescent="0.25">
      <c r="A242" s="1365">
        <v>0.28999999999999998</v>
      </c>
      <c r="B242" s="13">
        <v>52</v>
      </c>
      <c r="C242" s="1375">
        <f t="shared" si="40"/>
        <v>35.9</v>
      </c>
      <c r="D242" s="1375">
        <v>60.39</v>
      </c>
      <c r="E242" s="1375">
        <v>35.9</v>
      </c>
      <c r="F242" s="13">
        <v>60.39</v>
      </c>
      <c r="G242" s="13">
        <v>35.9</v>
      </c>
      <c r="H242" s="13">
        <v>57.36</v>
      </c>
      <c r="I242" s="1366">
        <v>38.15</v>
      </c>
      <c r="J242" s="13">
        <v>58.8</v>
      </c>
      <c r="K242" s="13">
        <v>43.155322782108236</v>
      </c>
      <c r="L242" s="13">
        <v>77.124003201951652</v>
      </c>
      <c r="M242" s="13">
        <v>77.646568620291788</v>
      </c>
    </row>
    <row r="243" spans="1:13" x14ac:dyDescent="0.25">
      <c r="A243" s="1365">
        <v>0.3</v>
      </c>
      <c r="B243" s="13">
        <v>53.6</v>
      </c>
      <c r="C243" s="1375">
        <f t="shared" si="40"/>
        <v>36</v>
      </c>
      <c r="D243" s="1375">
        <v>61.46</v>
      </c>
      <c r="E243" s="1375">
        <v>36</v>
      </c>
      <c r="F243" s="13">
        <v>61.46</v>
      </c>
      <c r="G243" s="13">
        <v>36</v>
      </c>
      <c r="H243" s="13">
        <v>58</v>
      </c>
      <c r="I243" s="1366">
        <v>38.36</v>
      </c>
      <c r="J243" s="13">
        <v>60.2</v>
      </c>
      <c r="K243" s="13">
        <v>43.948756280885348</v>
      </c>
      <c r="L243" s="13">
        <v>77.646568620291788</v>
      </c>
      <c r="M243" s="13">
        <v>78.602232069588055</v>
      </c>
    </row>
    <row r="244" spans="1:13" x14ac:dyDescent="0.25">
      <c r="A244" s="1365">
        <v>0.31</v>
      </c>
      <c r="B244" s="13">
        <v>53.6</v>
      </c>
      <c r="C244" s="1375">
        <f t="shared" si="40"/>
        <v>36.4</v>
      </c>
      <c r="D244" s="1375">
        <v>62</v>
      </c>
      <c r="E244" s="1375">
        <v>36.4</v>
      </c>
      <c r="F244" s="13">
        <v>62</v>
      </c>
      <c r="G244" s="13">
        <v>36.4</v>
      </c>
      <c r="H244" s="13">
        <v>58.57</v>
      </c>
      <c r="I244" s="1366">
        <v>38.880000000000003</v>
      </c>
      <c r="J244" s="13">
        <v>60.2</v>
      </c>
      <c r="K244" s="13">
        <v>44.912760938580782</v>
      </c>
      <c r="L244" s="13">
        <v>78.602232069588055</v>
      </c>
      <c r="M244" s="13">
        <v>80.194226235124447</v>
      </c>
    </row>
    <row r="245" spans="1:13" x14ac:dyDescent="0.25">
      <c r="A245" s="1365">
        <v>0.32</v>
      </c>
      <c r="B245" s="13">
        <v>55.4</v>
      </c>
      <c r="C245" s="1375">
        <f t="shared" si="40"/>
        <v>36.799999999999997</v>
      </c>
      <c r="D245" s="1375">
        <v>62.74</v>
      </c>
      <c r="E245" s="1375">
        <v>36.799999999999997</v>
      </c>
      <c r="F245" s="13">
        <v>62.74</v>
      </c>
      <c r="G245" s="13">
        <v>36.799999999999997</v>
      </c>
      <c r="H245" s="13">
        <v>59.36</v>
      </c>
      <c r="I245" s="1366">
        <v>39.36</v>
      </c>
      <c r="J245" s="13">
        <v>62.2</v>
      </c>
      <c r="K245" s="13">
        <v>45.70347089909049</v>
      </c>
      <c r="L245" s="13">
        <v>80.194226235124447</v>
      </c>
      <c r="M245" s="13">
        <v>80.820751845676895</v>
      </c>
    </row>
    <row r="246" spans="1:13" x14ac:dyDescent="0.25">
      <c r="A246" s="1365">
        <v>0.33</v>
      </c>
      <c r="B246" s="13">
        <v>55.4</v>
      </c>
      <c r="C246" s="1375">
        <f t="shared" si="40"/>
        <v>37.4</v>
      </c>
      <c r="D246" s="1375">
        <v>63.41</v>
      </c>
      <c r="E246" s="1375">
        <v>37.4</v>
      </c>
      <c r="F246" s="13">
        <v>63.41</v>
      </c>
      <c r="G246" s="13">
        <v>37.4</v>
      </c>
      <c r="H246" s="13">
        <v>59.91</v>
      </c>
      <c r="I246" s="1366">
        <v>39.630000000000003</v>
      </c>
      <c r="J246" s="13">
        <v>62.2</v>
      </c>
      <c r="K246" s="13">
        <v>46.271712760795729</v>
      </c>
      <c r="L246" s="13">
        <v>80.820751845676895</v>
      </c>
      <c r="M246" s="13">
        <v>81.47643507413386</v>
      </c>
    </row>
    <row r="247" spans="1:13" x14ac:dyDescent="0.25">
      <c r="A247" s="1365">
        <v>0.34</v>
      </c>
      <c r="B247" s="13">
        <v>57.1</v>
      </c>
      <c r="C247" s="1375">
        <f t="shared" si="40"/>
        <v>37.5</v>
      </c>
      <c r="D247" s="1375">
        <v>64.209999999999994</v>
      </c>
      <c r="E247" s="1375">
        <v>37.5</v>
      </c>
      <c r="F247" s="13">
        <v>64.209999999999994</v>
      </c>
      <c r="G247" s="13">
        <v>37.5</v>
      </c>
      <c r="H247" s="13">
        <v>60.21</v>
      </c>
      <c r="I247" s="1366">
        <v>40.21</v>
      </c>
      <c r="J247" s="13">
        <v>63.5</v>
      </c>
      <c r="K247" s="13">
        <v>46.577453592814365</v>
      </c>
      <c r="L247" s="13">
        <v>81.652220026165168</v>
      </c>
      <c r="M247" s="13">
        <v>81.928578164536404</v>
      </c>
    </row>
    <row r="248" spans="1:13" x14ac:dyDescent="0.25">
      <c r="A248" s="1365">
        <v>0.35</v>
      </c>
      <c r="B248" s="13">
        <v>57.1</v>
      </c>
      <c r="C248" s="1375">
        <f t="shared" si="40"/>
        <v>38.6</v>
      </c>
      <c r="D248" s="1375">
        <v>64.930000000000007</v>
      </c>
      <c r="E248" s="1375">
        <v>38.6</v>
      </c>
      <c r="F248" s="13">
        <v>64.930000000000007</v>
      </c>
      <c r="G248" s="13">
        <v>38.6</v>
      </c>
      <c r="H248" s="13">
        <v>60.53</v>
      </c>
      <c r="I248" s="1366">
        <v>40.44</v>
      </c>
      <c r="J248" s="13">
        <v>63.5</v>
      </c>
      <c r="K248" s="13">
        <v>46.825801150369763</v>
      </c>
      <c r="L248" s="13">
        <v>81.928578164536404</v>
      </c>
      <c r="M248" s="13">
        <v>83.334184914841842</v>
      </c>
    </row>
    <row r="249" spans="1:13" x14ac:dyDescent="0.25">
      <c r="A249" s="1365">
        <v>0.36</v>
      </c>
      <c r="B249" s="13">
        <v>59.1</v>
      </c>
      <c r="C249" s="1375">
        <f t="shared" si="40"/>
        <v>41.2</v>
      </c>
      <c r="D249" s="1375">
        <v>65.72</v>
      </c>
      <c r="E249" s="1375">
        <v>41.2</v>
      </c>
      <c r="F249" s="13">
        <v>65.72</v>
      </c>
      <c r="G249" s="13">
        <v>41.2</v>
      </c>
      <c r="H249" s="13">
        <v>60.95</v>
      </c>
      <c r="I249" s="1366">
        <v>40.68</v>
      </c>
      <c r="J249" s="13">
        <v>65.5</v>
      </c>
      <c r="K249" s="13">
        <v>47.831567271054091</v>
      </c>
      <c r="L249" s="13">
        <v>83.334184914841842</v>
      </c>
      <c r="M249" s="13">
        <v>83.606197511397511</v>
      </c>
    </row>
    <row r="250" spans="1:13" x14ac:dyDescent="0.25">
      <c r="A250" s="1365">
        <v>0.37</v>
      </c>
      <c r="B250" s="13">
        <v>59.1</v>
      </c>
      <c r="C250" s="1375">
        <f t="shared" si="40"/>
        <v>41.5</v>
      </c>
      <c r="D250" s="1375">
        <v>66.61</v>
      </c>
      <c r="E250" s="1375">
        <v>41.5</v>
      </c>
      <c r="F250" s="13">
        <v>66.61</v>
      </c>
      <c r="G250" s="13">
        <v>41.5</v>
      </c>
      <c r="H250" s="13">
        <v>61.49</v>
      </c>
      <c r="I250" s="1366">
        <v>41.03</v>
      </c>
      <c r="J250" s="13">
        <v>65.5</v>
      </c>
      <c r="K250" s="13">
        <v>48.303738036477462</v>
      </c>
      <c r="L250" s="13">
        <v>83.606197511397511</v>
      </c>
      <c r="M250" s="13">
        <v>83.929475340310546</v>
      </c>
    </row>
    <row r="251" spans="1:13" x14ac:dyDescent="0.25">
      <c r="A251" s="1365">
        <v>0.38</v>
      </c>
      <c r="B251" s="13">
        <v>60.7</v>
      </c>
      <c r="C251" s="1375">
        <f t="shared" si="40"/>
        <v>42.8</v>
      </c>
      <c r="D251" s="1375">
        <v>67.7</v>
      </c>
      <c r="E251" s="1375">
        <v>42.8</v>
      </c>
      <c r="F251" s="13">
        <v>67.7</v>
      </c>
      <c r="G251" s="13">
        <v>42.8</v>
      </c>
      <c r="H251" s="13">
        <v>62.08</v>
      </c>
      <c r="I251" s="1366">
        <v>41.48</v>
      </c>
      <c r="J251" s="13">
        <v>67.2</v>
      </c>
      <c r="K251" s="13">
        <v>48.987777096576423</v>
      </c>
      <c r="L251" s="13">
        <v>83.929475340310546</v>
      </c>
      <c r="M251" s="13">
        <v>85.189002221183074</v>
      </c>
    </row>
    <row r="252" spans="1:13" x14ac:dyDescent="0.25">
      <c r="A252" s="1365">
        <v>0.39</v>
      </c>
      <c r="B252" s="13">
        <v>60.7</v>
      </c>
      <c r="C252" s="1375">
        <f t="shared" si="40"/>
        <v>44</v>
      </c>
      <c r="D252" s="1375">
        <v>68.63</v>
      </c>
      <c r="E252" s="1375">
        <v>44</v>
      </c>
      <c r="F252" s="13">
        <v>68.63</v>
      </c>
      <c r="G252" s="13">
        <v>44</v>
      </c>
      <c r="H252" s="13">
        <v>62.42</v>
      </c>
      <c r="I252" s="1366">
        <v>41.72</v>
      </c>
      <c r="J252" s="13">
        <v>67.2</v>
      </c>
      <c r="K252" s="13">
        <v>49.52472743930371</v>
      </c>
      <c r="L252" s="13">
        <v>85.189002221183074</v>
      </c>
      <c r="M252" s="13">
        <v>85.755096645110569</v>
      </c>
    </row>
    <row r="253" spans="1:13" x14ac:dyDescent="0.25">
      <c r="A253" s="1365">
        <v>0.4</v>
      </c>
      <c r="B253" s="13">
        <v>62</v>
      </c>
      <c r="C253" s="1375">
        <f t="shared" si="40"/>
        <v>44.4</v>
      </c>
      <c r="D253" s="1375">
        <v>69.569999999999993</v>
      </c>
      <c r="E253" s="1375">
        <v>44.4</v>
      </c>
      <c r="F253" s="13">
        <v>69.569999999999993</v>
      </c>
      <c r="G253" s="13">
        <v>44.4</v>
      </c>
      <c r="H253" s="13">
        <v>62.83</v>
      </c>
      <c r="I253" s="1366">
        <v>42.31</v>
      </c>
      <c r="J253" s="13">
        <v>68.900000000000006</v>
      </c>
      <c r="K253" s="13">
        <v>49.844309440559442</v>
      </c>
      <c r="L253" s="13">
        <v>85.477281776836108</v>
      </c>
      <c r="M253" s="13">
        <v>86.437983289995302</v>
      </c>
    </row>
    <row r="254" spans="1:13" x14ac:dyDescent="0.25">
      <c r="A254" s="1365">
        <v>0.41</v>
      </c>
      <c r="B254" s="13">
        <v>62</v>
      </c>
      <c r="C254" s="1375">
        <f t="shared" si="40"/>
        <v>44.7</v>
      </c>
      <c r="D254" s="1375">
        <v>70.239999999999995</v>
      </c>
      <c r="E254" s="1375">
        <v>44.7</v>
      </c>
      <c r="F254" s="13">
        <v>70.239999999999995</v>
      </c>
      <c r="G254" s="13">
        <v>44.7</v>
      </c>
      <c r="H254" s="13">
        <v>63.43</v>
      </c>
      <c r="I254" s="1366">
        <v>42.9</v>
      </c>
      <c r="J254" s="13">
        <v>68.900000000000006</v>
      </c>
      <c r="K254" s="13">
        <v>50.710849285615204</v>
      </c>
      <c r="L254" s="13">
        <v>86.256882341150515</v>
      </c>
      <c r="M254" s="13">
        <v>86.901048273395361</v>
      </c>
    </row>
    <row r="255" spans="1:13" x14ac:dyDescent="0.25">
      <c r="A255" s="1365">
        <v>0.42</v>
      </c>
      <c r="B255" s="13">
        <v>63</v>
      </c>
      <c r="C255" s="1375">
        <f t="shared" si="40"/>
        <v>44.8</v>
      </c>
      <c r="D255" s="1375">
        <v>70.819999999999993</v>
      </c>
      <c r="E255" s="1375">
        <v>44.8</v>
      </c>
      <c r="F255" s="13">
        <v>70.819999999999993</v>
      </c>
      <c r="G255" s="13">
        <v>44.8</v>
      </c>
      <c r="H255" s="13">
        <v>64.56</v>
      </c>
      <c r="I255" s="1366">
        <v>43.47</v>
      </c>
      <c r="J255" s="13">
        <v>70.3</v>
      </c>
      <c r="K255" s="13">
        <v>51.611718881170525</v>
      </c>
      <c r="L255" s="13">
        <v>86.658769307915293</v>
      </c>
      <c r="M255" s="13">
        <v>87.729716166186748</v>
      </c>
    </row>
    <row r="256" spans="1:13" x14ac:dyDescent="0.25">
      <c r="A256" s="1365">
        <v>0.43</v>
      </c>
      <c r="B256" s="13">
        <v>63</v>
      </c>
      <c r="C256" s="1375">
        <f t="shared" si="40"/>
        <v>45.6</v>
      </c>
      <c r="D256" s="1375">
        <v>71.33</v>
      </c>
      <c r="E256" s="1375">
        <v>45.6</v>
      </c>
      <c r="F256" s="13">
        <v>71.33</v>
      </c>
      <c r="G256" s="13">
        <v>45.6</v>
      </c>
      <c r="H256" s="13">
        <v>65.150000000000006</v>
      </c>
      <c r="I256" s="1366">
        <v>43.86</v>
      </c>
      <c r="J256" s="13">
        <v>70.3</v>
      </c>
      <c r="K256" s="13">
        <v>52.082072602090996</v>
      </c>
      <c r="L256" s="13">
        <v>87.6876954802608</v>
      </c>
      <c r="M256" s="13">
        <v>87.92171025767766</v>
      </c>
    </row>
    <row r="257" spans="1:13" x14ac:dyDescent="0.25">
      <c r="A257" s="1365">
        <v>0.44</v>
      </c>
      <c r="B257" s="13">
        <v>63.9</v>
      </c>
      <c r="C257" s="1375">
        <f t="shared" si="40"/>
        <v>45.9</v>
      </c>
      <c r="D257" s="1375">
        <v>72.319999999999993</v>
      </c>
      <c r="E257" s="1375">
        <v>45.9</v>
      </c>
      <c r="F257" s="13">
        <v>72.319999999999993</v>
      </c>
      <c r="G257" s="13">
        <v>45.9</v>
      </c>
      <c r="H257" s="13">
        <v>65.58</v>
      </c>
      <c r="I257" s="1366">
        <v>44.67</v>
      </c>
      <c r="J257" s="13">
        <v>71.400000000000006</v>
      </c>
      <c r="K257" s="13">
        <v>53.256807425164418</v>
      </c>
      <c r="L257" s="13">
        <v>87.748098383056245</v>
      </c>
      <c r="M257" s="13">
        <v>89.128095199448111</v>
      </c>
    </row>
    <row r="258" spans="1:13" x14ac:dyDescent="0.25">
      <c r="A258" s="1365">
        <v>0.45</v>
      </c>
      <c r="B258" s="13">
        <v>63.9</v>
      </c>
      <c r="C258" s="1375">
        <f t="shared" si="40"/>
        <v>47.1</v>
      </c>
      <c r="D258" s="1375">
        <v>72.989999999999995</v>
      </c>
      <c r="E258" s="1375">
        <v>47.1</v>
      </c>
      <c r="F258" s="13">
        <v>72.989999999999995</v>
      </c>
      <c r="G258" s="13">
        <v>47.1</v>
      </c>
      <c r="H258" s="13">
        <v>66.099999999999994</v>
      </c>
      <c r="I258" s="1366">
        <v>45.18</v>
      </c>
      <c r="J258" s="13">
        <v>71.400000000000006</v>
      </c>
      <c r="K258" s="13">
        <v>53.967517401392115</v>
      </c>
      <c r="L258" s="13">
        <v>88.833264730758401</v>
      </c>
      <c r="M258" s="13">
        <v>89.432722040886446</v>
      </c>
    </row>
    <row r="259" spans="1:13" x14ac:dyDescent="0.25">
      <c r="A259" s="1365">
        <v>0.46</v>
      </c>
      <c r="B259" s="13">
        <v>65.900000000000006</v>
      </c>
      <c r="C259" s="1375">
        <f t="shared" si="40"/>
        <v>47.9</v>
      </c>
      <c r="D259" s="1375">
        <v>73.47</v>
      </c>
      <c r="E259" s="1375">
        <v>47.9</v>
      </c>
      <c r="F259" s="13">
        <v>73.47</v>
      </c>
      <c r="G259" s="13">
        <v>47.9</v>
      </c>
      <c r="H259" s="13">
        <v>66.56</v>
      </c>
      <c r="I259" s="1366">
        <v>45.52</v>
      </c>
      <c r="J259" s="13">
        <v>72.8</v>
      </c>
      <c r="K259" s="13">
        <v>54.585664553027478</v>
      </c>
      <c r="L259" s="13">
        <v>89.317758446931506</v>
      </c>
      <c r="M259" s="13">
        <v>89.636554502438585</v>
      </c>
    </row>
    <row r="260" spans="1:13" x14ac:dyDescent="0.25">
      <c r="A260" s="1365">
        <v>0.47</v>
      </c>
      <c r="B260" s="13">
        <v>65.900000000000006</v>
      </c>
      <c r="C260" s="1375">
        <f t="shared" si="40"/>
        <v>48.8</v>
      </c>
      <c r="D260" s="1375">
        <v>74.53</v>
      </c>
      <c r="E260" s="1375">
        <v>48.8</v>
      </c>
      <c r="F260" s="13">
        <v>74.53</v>
      </c>
      <c r="G260" s="13">
        <v>48.8</v>
      </c>
      <c r="H260" s="13">
        <v>67.069999999999993</v>
      </c>
      <c r="I260" s="1366">
        <v>46.04</v>
      </c>
      <c r="J260" s="13">
        <v>72.8</v>
      </c>
      <c r="K260" s="13">
        <v>54.872543810877033</v>
      </c>
      <c r="L260" s="13">
        <v>89.628136550099512</v>
      </c>
      <c r="M260" s="13">
        <v>90.198936435396746</v>
      </c>
    </row>
    <row r="261" spans="1:13" x14ac:dyDescent="0.25">
      <c r="A261" s="1365">
        <v>0.48</v>
      </c>
      <c r="B261" s="13">
        <v>67.599999999999994</v>
      </c>
      <c r="C261" s="1375">
        <f t="shared" si="40"/>
        <v>49.5</v>
      </c>
      <c r="D261" s="1375">
        <v>75.37</v>
      </c>
      <c r="E261" s="1375">
        <v>49.5</v>
      </c>
      <c r="F261" s="13">
        <v>75.37</v>
      </c>
      <c r="G261" s="13">
        <v>49.5</v>
      </c>
      <c r="H261" s="13">
        <v>67.8</v>
      </c>
      <c r="I261" s="1366">
        <v>46.81</v>
      </c>
      <c r="J261" s="13">
        <v>74.3</v>
      </c>
      <c r="K261" s="13">
        <v>55.038358286557099</v>
      </c>
      <c r="L261" s="13">
        <v>89.804288580895033</v>
      </c>
      <c r="M261" s="13">
        <v>90.750477778464756</v>
      </c>
    </row>
    <row r="262" spans="1:13" x14ac:dyDescent="0.25">
      <c r="A262" s="1365">
        <v>0.49</v>
      </c>
      <c r="B262" s="13">
        <v>67.599999999999994</v>
      </c>
      <c r="C262" s="1375">
        <f t="shared" si="40"/>
        <v>49.7</v>
      </c>
      <c r="D262" s="1375">
        <v>76.069999999999993</v>
      </c>
      <c r="E262" s="1375">
        <v>49.7</v>
      </c>
      <c r="F262" s="13">
        <v>76.069999999999993</v>
      </c>
      <c r="G262" s="13">
        <v>49.7</v>
      </c>
      <c r="H262" s="13">
        <v>68.41</v>
      </c>
      <c r="I262" s="1366">
        <v>47.55</v>
      </c>
      <c r="J262" s="13">
        <v>74.3</v>
      </c>
      <c r="K262" s="13">
        <v>55.399357483106243</v>
      </c>
      <c r="L262" s="13">
        <v>90.409449431591725</v>
      </c>
      <c r="M262" s="13">
        <v>91.677121037094068</v>
      </c>
    </row>
    <row r="263" spans="1:13" x14ac:dyDescent="0.25">
      <c r="A263" s="1365">
        <v>0.5</v>
      </c>
      <c r="B263" s="13">
        <v>69.3</v>
      </c>
      <c r="C263" s="1375">
        <f t="shared" si="40"/>
        <v>49.8</v>
      </c>
      <c r="D263" s="1375">
        <v>76.81</v>
      </c>
      <c r="E263" s="1375">
        <v>49.8</v>
      </c>
      <c r="F263" s="13">
        <v>76.81</v>
      </c>
      <c r="G263" s="13">
        <v>49.8</v>
      </c>
      <c r="H263" s="13">
        <v>69.150000000000006</v>
      </c>
      <c r="I263" s="1366">
        <v>48.07</v>
      </c>
      <c r="J263" s="13">
        <v>75.2</v>
      </c>
      <c r="K263" s="13">
        <v>56.492116649872564</v>
      </c>
      <c r="L263" s="13">
        <v>91.445817593092286</v>
      </c>
      <c r="M263" s="13">
        <v>92.574834266352397</v>
      </c>
    </row>
    <row r="264" spans="1:13" x14ac:dyDescent="0.25">
      <c r="A264" s="1365">
        <v>0.51</v>
      </c>
      <c r="B264" s="13">
        <v>69.3</v>
      </c>
      <c r="C264" s="1375">
        <f t="shared" si="40"/>
        <v>49.9</v>
      </c>
      <c r="D264" s="1375">
        <v>77.44</v>
      </c>
      <c r="E264" s="1375">
        <v>49.9</v>
      </c>
      <c r="F264" s="13">
        <v>77.44</v>
      </c>
      <c r="G264" s="13">
        <v>49.9</v>
      </c>
      <c r="H264" s="13">
        <v>69.569999999999993</v>
      </c>
      <c r="I264" s="1366">
        <v>48.54</v>
      </c>
      <c r="J264" s="13">
        <v>75.2</v>
      </c>
      <c r="K264" s="13">
        <v>57.526099917911196</v>
      </c>
      <c r="L264" s="13">
        <v>91.679637848077633</v>
      </c>
      <c r="M264" s="13">
        <v>93.479349518720724</v>
      </c>
    </row>
    <row r="265" spans="1:13" x14ac:dyDescent="0.25">
      <c r="A265" s="1365">
        <v>0.52</v>
      </c>
      <c r="B265" s="13">
        <v>71.3</v>
      </c>
      <c r="C265" s="1375">
        <f t="shared" si="40"/>
        <v>49.9</v>
      </c>
      <c r="D265" s="1375">
        <v>77.94</v>
      </c>
      <c r="E265" s="1375">
        <v>49.9</v>
      </c>
      <c r="F265" s="13">
        <v>77.94</v>
      </c>
      <c r="G265" s="13">
        <v>49.9</v>
      </c>
      <c r="H265" s="13">
        <v>70.010000000000005</v>
      </c>
      <c r="I265" s="1366">
        <v>49.56</v>
      </c>
      <c r="J265" s="13">
        <v>76.400000000000006</v>
      </c>
      <c r="K265" s="13">
        <v>58.559664403740236</v>
      </c>
      <c r="L265" s="13">
        <v>92.599980258039025</v>
      </c>
      <c r="M265" s="13">
        <v>93.862924000355306</v>
      </c>
    </row>
    <row r="266" spans="1:13" x14ac:dyDescent="0.25">
      <c r="A266" s="1365">
        <v>0.53</v>
      </c>
      <c r="B266" s="13">
        <v>71.3</v>
      </c>
      <c r="C266" s="1375">
        <f t="shared" si="40"/>
        <v>50.05</v>
      </c>
      <c r="D266" s="1375">
        <v>79.3</v>
      </c>
      <c r="E266" s="1375">
        <v>50.05</v>
      </c>
      <c r="F266" s="13">
        <v>79.3</v>
      </c>
      <c r="G266" s="13">
        <v>50.05</v>
      </c>
      <c r="H266" s="13">
        <v>70.58</v>
      </c>
      <c r="I266" s="1366">
        <v>50.41</v>
      </c>
      <c r="J266" s="13">
        <v>76.400000000000006</v>
      </c>
      <c r="K266" s="13">
        <v>58.824078721865284</v>
      </c>
      <c r="L266" s="13">
        <v>93.624257933543745</v>
      </c>
      <c r="M266" s="13">
        <v>95.077194211100718</v>
      </c>
    </row>
    <row r="267" spans="1:13" x14ac:dyDescent="0.25">
      <c r="A267" s="1365">
        <v>0.54</v>
      </c>
      <c r="B267" s="13">
        <v>72.3</v>
      </c>
      <c r="C267" s="1375">
        <f t="shared" si="40"/>
        <v>50.5</v>
      </c>
      <c r="D267" s="1375">
        <v>79.900000000000006</v>
      </c>
      <c r="E267" s="1375">
        <v>50.5</v>
      </c>
      <c r="F267" s="13">
        <v>79.900000000000006</v>
      </c>
      <c r="G267" s="13">
        <v>50.5</v>
      </c>
      <c r="H267" s="13">
        <v>71.260000000000005</v>
      </c>
      <c r="I267" s="1366">
        <v>51</v>
      </c>
      <c r="J267" s="13">
        <v>78.5</v>
      </c>
      <c r="K267" s="13">
        <v>60.081948057391614</v>
      </c>
      <c r="L267" s="13">
        <v>94.659097736147899</v>
      </c>
      <c r="M267" s="13">
        <v>95.403428551062945</v>
      </c>
    </row>
    <row r="268" spans="1:13" x14ac:dyDescent="0.25">
      <c r="A268" s="1365">
        <v>0.55000000000000004</v>
      </c>
      <c r="B268" s="13">
        <v>72.3</v>
      </c>
      <c r="C268" s="1375">
        <f t="shared" si="40"/>
        <v>51.2</v>
      </c>
      <c r="D268" s="1375">
        <v>80.290000000000006</v>
      </c>
      <c r="E268" s="1375">
        <v>51.2</v>
      </c>
      <c r="F268" s="13">
        <v>80.290000000000006</v>
      </c>
      <c r="G268" s="13">
        <v>51.2</v>
      </c>
      <c r="H268" s="13">
        <v>71.760000000000005</v>
      </c>
      <c r="I268" s="1366">
        <v>51.63</v>
      </c>
      <c r="J268" s="13">
        <v>78.5</v>
      </c>
      <c r="K268" s="13">
        <v>61.580724959794715</v>
      </c>
      <c r="L268" s="13">
        <v>95.308592188220828</v>
      </c>
      <c r="M268" s="13">
        <v>95.772316524523205</v>
      </c>
    </row>
    <row r="269" spans="1:13" x14ac:dyDescent="0.25">
      <c r="A269" s="1365">
        <v>0.56000000000000005</v>
      </c>
      <c r="B269" s="13">
        <v>73.2</v>
      </c>
      <c r="C269" s="1375">
        <f t="shared" si="40"/>
        <v>52.3</v>
      </c>
      <c r="D269" s="1375">
        <v>81.44</v>
      </c>
      <c r="E269" s="1375">
        <v>52.3</v>
      </c>
      <c r="F269" s="13">
        <v>81.44</v>
      </c>
      <c r="G269" s="13">
        <v>52.3</v>
      </c>
      <c r="H269" s="13">
        <v>72.260000000000005</v>
      </c>
      <c r="I269" s="1366">
        <v>52.6</v>
      </c>
      <c r="J269" s="13">
        <v>80.599999999999994</v>
      </c>
      <c r="K269" s="13">
        <v>62.583273676111475</v>
      </c>
      <c r="L269" s="13">
        <v>95.772316524523205</v>
      </c>
      <c r="M269" s="13">
        <v>96.012537989617741</v>
      </c>
    </row>
    <row r="270" spans="1:13" x14ac:dyDescent="0.25">
      <c r="A270" s="1365">
        <v>0.56999999999999995</v>
      </c>
      <c r="B270" s="13">
        <v>73.2</v>
      </c>
      <c r="C270" s="1375">
        <f t="shared" si="40"/>
        <v>52.3</v>
      </c>
      <c r="D270" s="1375">
        <v>82.31</v>
      </c>
      <c r="E270" s="1375">
        <v>52.3</v>
      </c>
      <c r="F270" s="13">
        <v>82.31</v>
      </c>
      <c r="G270" s="13">
        <v>52.3</v>
      </c>
      <c r="H270" s="13">
        <v>72.989999999999995</v>
      </c>
      <c r="I270" s="1366">
        <v>53.9</v>
      </c>
      <c r="J270" s="13">
        <v>80.599999999999994</v>
      </c>
      <c r="K270" s="13">
        <v>62.906719837857835</v>
      </c>
      <c r="L270" s="13">
        <v>96.012537989617741</v>
      </c>
      <c r="M270" s="13">
        <v>96.451044263396895</v>
      </c>
    </row>
    <row r="271" spans="1:13" x14ac:dyDescent="0.25">
      <c r="A271" s="1365">
        <v>0.57999999999999996</v>
      </c>
      <c r="B271" s="13">
        <v>74.599999999999994</v>
      </c>
      <c r="C271" s="1375">
        <f t="shared" si="40"/>
        <v>52.7</v>
      </c>
      <c r="D271" s="1375">
        <v>83.58</v>
      </c>
      <c r="E271" s="1375">
        <v>52.7</v>
      </c>
      <c r="F271" s="13">
        <v>83.58</v>
      </c>
      <c r="G271" s="13">
        <v>52.7</v>
      </c>
      <c r="H271" s="13">
        <v>73.62</v>
      </c>
      <c r="I271" s="1366">
        <v>54.78</v>
      </c>
      <c r="J271" s="13">
        <v>83</v>
      </c>
      <c r="K271" s="13">
        <v>63.833846235828574</v>
      </c>
      <c r="L271" s="13">
        <v>96.451044263396895</v>
      </c>
      <c r="M271" s="13">
        <v>97.41291555215895</v>
      </c>
    </row>
    <row r="272" spans="1:13" x14ac:dyDescent="0.25">
      <c r="A272" s="1365">
        <v>0.59</v>
      </c>
      <c r="B272" s="13">
        <v>74.599999999999994</v>
      </c>
      <c r="C272" s="1375">
        <f t="shared" si="40"/>
        <v>53.8</v>
      </c>
      <c r="D272" s="1375">
        <v>84.68</v>
      </c>
      <c r="E272" s="1375">
        <v>53.8</v>
      </c>
      <c r="F272" s="13">
        <v>84.68</v>
      </c>
      <c r="G272" s="13">
        <v>53.8</v>
      </c>
      <c r="H272" s="13">
        <v>74</v>
      </c>
      <c r="I272" s="1366">
        <v>55.08</v>
      </c>
      <c r="J272" s="13">
        <v>83</v>
      </c>
      <c r="K272" s="13">
        <v>64.193682944337752</v>
      </c>
      <c r="L272" s="13">
        <v>97.41291555215895</v>
      </c>
      <c r="M272" s="13">
        <v>98.507752953051266</v>
      </c>
    </row>
    <row r="273" spans="1:13" x14ac:dyDescent="0.25">
      <c r="A273" s="1365">
        <v>0.6</v>
      </c>
      <c r="B273" s="13">
        <v>75.900000000000006</v>
      </c>
      <c r="C273" s="1375">
        <f t="shared" si="40"/>
        <v>54.2</v>
      </c>
      <c r="D273" s="1375">
        <v>85.33</v>
      </c>
      <c r="E273" s="1375">
        <v>54.2</v>
      </c>
      <c r="F273" s="13">
        <v>85.33</v>
      </c>
      <c r="G273" s="13">
        <v>54.2</v>
      </c>
      <c r="H273" s="13">
        <v>74.8</v>
      </c>
      <c r="I273" s="1366">
        <v>55.63</v>
      </c>
      <c r="J273" s="13">
        <v>84.9</v>
      </c>
      <c r="K273" s="13">
        <v>65.059106005151136</v>
      </c>
      <c r="L273" s="13">
        <v>98.507752953051266</v>
      </c>
      <c r="M273" s="13">
        <v>98.614600513352613</v>
      </c>
    </row>
    <row r="274" spans="1:13" x14ac:dyDescent="0.25">
      <c r="A274" s="1365">
        <v>0.61</v>
      </c>
      <c r="B274" s="13">
        <v>75.900000000000006</v>
      </c>
      <c r="C274" s="1375">
        <f t="shared" si="40"/>
        <v>54.7</v>
      </c>
      <c r="D274" s="1375">
        <v>86.8</v>
      </c>
      <c r="E274" s="1375">
        <v>54.7</v>
      </c>
      <c r="F274" s="13">
        <v>86.8</v>
      </c>
      <c r="G274" s="13">
        <v>54.7</v>
      </c>
      <c r="H274" s="13">
        <v>75.87</v>
      </c>
      <c r="I274" s="1366">
        <v>56.46</v>
      </c>
      <c r="J274" s="13">
        <v>84.9</v>
      </c>
      <c r="K274" s="13">
        <v>65.543542261699258</v>
      </c>
      <c r="L274" s="13">
        <v>98.614600513352613</v>
      </c>
      <c r="M274" s="13">
        <v>99.542508140996347</v>
      </c>
    </row>
    <row r="275" spans="1:13" x14ac:dyDescent="0.25">
      <c r="A275" s="1365">
        <v>0.62</v>
      </c>
      <c r="B275" s="13">
        <v>78.3</v>
      </c>
      <c r="C275" s="1375">
        <f t="shared" si="40"/>
        <v>55.2</v>
      </c>
      <c r="D275" s="1375">
        <v>87.41</v>
      </c>
      <c r="E275" s="1375">
        <v>55.2</v>
      </c>
      <c r="F275" s="13">
        <v>87.41</v>
      </c>
      <c r="G275" s="13">
        <v>55.2</v>
      </c>
      <c r="H275" s="13">
        <v>76.319999999999993</v>
      </c>
      <c r="I275" s="1366">
        <v>57.63</v>
      </c>
      <c r="J275" s="13">
        <v>86.4</v>
      </c>
      <c r="K275" s="13">
        <v>66.399165139033059</v>
      </c>
      <c r="L275" s="13">
        <v>99.542508140996347</v>
      </c>
      <c r="M275" s="13">
        <v>99.640303454212841</v>
      </c>
    </row>
    <row r="276" spans="1:13" x14ac:dyDescent="0.25">
      <c r="A276" s="1365">
        <v>0.63</v>
      </c>
      <c r="B276" s="13">
        <v>78.3</v>
      </c>
      <c r="C276" s="1375">
        <f t="shared" si="40"/>
        <v>55.4</v>
      </c>
      <c r="D276" s="1375">
        <v>88.18</v>
      </c>
      <c r="E276" s="1375">
        <v>55.4</v>
      </c>
      <c r="F276" s="13">
        <v>88.18</v>
      </c>
      <c r="G276" s="13">
        <v>55.4</v>
      </c>
      <c r="H276" s="13">
        <v>77.14</v>
      </c>
      <c r="I276" s="1366">
        <v>58.09</v>
      </c>
      <c r="J276" s="13">
        <v>86.4</v>
      </c>
      <c r="K276" s="13">
        <v>66.971683928442104</v>
      </c>
      <c r="L276" s="13">
        <v>99.640303454212841</v>
      </c>
      <c r="M276" s="13">
        <v>99.828924465568093</v>
      </c>
    </row>
    <row r="277" spans="1:13" x14ac:dyDescent="0.25">
      <c r="A277" s="1365">
        <v>0.64</v>
      </c>
      <c r="B277" s="13">
        <v>79.900000000000006</v>
      </c>
      <c r="C277" s="1375">
        <f t="shared" si="40"/>
        <v>56</v>
      </c>
      <c r="D277" s="1375">
        <v>89.28</v>
      </c>
      <c r="E277" s="1375">
        <v>56</v>
      </c>
      <c r="F277" s="13">
        <v>89.28</v>
      </c>
      <c r="G277" s="13">
        <v>56</v>
      </c>
      <c r="H277" s="13">
        <v>77.87</v>
      </c>
      <c r="I277" s="1366">
        <v>58.58</v>
      </c>
      <c r="J277" s="13">
        <v>87.9</v>
      </c>
      <c r="K277" s="13">
        <v>67.459018690279379</v>
      </c>
      <c r="L277" s="13">
        <v>99.828924465568093</v>
      </c>
      <c r="M277" s="13">
        <v>100.06387991011478</v>
      </c>
    </row>
    <row r="278" spans="1:13" x14ac:dyDescent="0.25">
      <c r="A278" s="1365">
        <v>0.65</v>
      </c>
      <c r="B278" s="13">
        <v>79.900000000000006</v>
      </c>
      <c r="C278" s="1375">
        <f t="shared" ref="C278:C313" si="41">E278</f>
        <v>56</v>
      </c>
      <c r="D278" s="1375">
        <v>89.76</v>
      </c>
      <c r="E278" s="1375">
        <v>56</v>
      </c>
      <c r="F278" s="13">
        <v>89.76</v>
      </c>
      <c r="G278" s="13">
        <v>56</v>
      </c>
      <c r="H278" s="13">
        <v>79.08</v>
      </c>
      <c r="I278" s="1366">
        <v>59.69</v>
      </c>
      <c r="J278" s="13">
        <v>87.9</v>
      </c>
      <c r="K278" s="13">
        <v>67.865982578298983</v>
      </c>
      <c r="L278" s="13">
        <v>100.06387991011478</v>
      </c>
      <c r="M278" s="13">
        <v>100.47487710568379</v>
      </c>
    </row>
    <row r="279" spans="1:13" x14ac:dyDescent="0.25">
      <c r="A279" s="1365">
        <v>0.66</v>
      </c>
      <c r="B279" s="13">
        <v>81.099999999999994</v>
      </c>
      <c r="C279" s="1375">
        <f t="shared" si="41"/>
        <v>56.3</v>
      </c>
      <c r="D279" s="1375">
        <v>90.28</v>
      </c>
      <c r="E279" s="1375">
        <v>56.3</v>
      </c>
      <c r="F279" s="13">
        <v>90.28</v>
      </c>
      <c r="G279" s="13">
        <v>56.3</v>
      </c>
      <c r="H279" s="13">
        <v>80.239999999999995</v>
      </c>
      <c r="I279" s="1366">
        <v>60.58</v>
      </c>
      <c r="J279" s="13">
        <v>89.6</v>
      </c>
      <c r="K279" s="13">
        <v>68.447798846750956</v>
      </c>
      <c r="L279" s="13">
        <v>100.47487710568379</v>
      </c>
      <c r="M279" s="13">
        <v>100.7955063527653</v>
      </c>
    </row>
    <row r="280" spans="1:13" x14ac:dyDescent="0.25">
      <c r="A280" s="1365">
        <v>0.67</v>
      </c>
      <c r="B280" s="13">
        <v>81.099999999999994</v>
      </c>
      <c r="C280" s="1375">
        <f t="shared" si="41"/>
        <v>57.45</v>
      </c>
      <c r="D280" s="1375">
        <v>90.82</v>
      </c>
      <c r="E280" s="1375">
        <v>57.45</v>
      </c>
      <c r="F280" s="13">
        <v>90.82</v>
      </c>
      <c r="G280" s="13">
        <v>57.45</v>
      </c>
      <c r="H280" s="13">
        <v>81.06</v>
      </c>
      <c r="I280" s="1366">
        <v>61.1</v>
      </c>
      <c r="J280" s="13">
        <v>89.6</v>
      </c>
      <c r="K280" s="13">
        <v>69.104643052004306</v>
      </c>
      <c r="L280" s="13">
        <v>102.44837696862514</v>
      </c>
      <c r="M280" s="13">
        <v>102.91336810517291</v>
      </c>
    </row>
    <row r="281" spans="1:13" x14ac:dyDescent="0.25">
      <c r="A281" s="1365">
        <v>0.68</v>
      </c>
      <c r="B281" s="13">
        <v>82.4</v>
      </c>
      <c r="C281" s="1375">
        <f t="shared" si="41"/>
        <v>58.2</v>
      </c>
      <c r="D281" s="1375">
        <v>91.79</v>
      </c>
      <c r="E281" s="1375">
        <v>58.2</v>
      </c>
      <c r="F281" s="13">
        <v>91.79</v>
      </c>
      <c r="G281" s="13">
        <v>58.2</v>
      </c>
      <c r="H281" s="13">
        <v>82.02</v>
      </c>
      <c r="I281" s="1366">
        <v>61.54</v>
      </c>
      <c r="J281" s="13">
        <v>91.3</v>
      </c>
      <c r="K281" s="13">
        <v>70.110246424683751</v>
      </c>
      <c r="L281" s="13">
        <v>102.91336810517291</v>
      </c>
      <c r="M281" s="13">
        <v>103.31981143954418</v>
      </c>
    </row>
    <row r="282" spans="1:13" x14ac:dyDescent="0.25">
      <c r="A282" s="1365">
        <v>0.69</v>
      </c>
      <c r="B282" s="13">
        <v>82.4</v>
      </c>
      <c r="C282" s="1375">
        <f t="shared" si="41"/>
        <v>58.4</v>
      </c>
      <c r="D282" s="1375">
        <v>92.34</v>
      </c>
      <c r="E282" s="1375">
        <v>58.4</v>
      </c>
      <c r="F282" s="13">
        <v>92.34</v>
      </c>
      <c r="G282" s="13">
        <v>58.4</v>
      </c>
      <c r="H282" s="13">
        <v>83.17</v>
      </c>
      <c r="I282" s="1366">
        <v>61.93</v>
      </c>
      <c r="J282" s="13">
        <v>91.3</v>
      </c>
      <c r="K282" s="13">
        <v>70.382211227616452</v>
      </c>
      <c r="L282" s="13">
        <v>103.31981143954418</v>
      </c>
      <c r="M282" s="13">
        <v>103.37731181826378</v>
      </c>
    </row>
    <row r="283" spans="1:13" x14ac:dyDescent="0.25">
      <c r="A283" s="1365">
        <v>0.7</v>
      </c>
      <c r="B283" s="13">
        <v>84.5</v>
      </c>
      <c r="C283" s="1375">
        <f t="shared" si="41"/>
        <v>58.8</v>
      </c>
      <c r="D283" s="1375">
        <v>93.47</v>
      </c>
      <c r="E283" s="1375">
        <v>58.8</v>
      </c>
      <c r="F283" s="13">
        <v>93.47</v>
      </c>
      <c r="G283" s="13">
        <v>58.8</v>
      </c>
      <c r="H283" s="13">
        <v>84.4</v>
      </c>
      <c r="I283" s="1366">
        <v>62.5</v>
      </c>
      <c r="J283" s="13">
        <v>92.7</v>
      </c>
      <c r="K283" s="13">
        <v>70.793464331482284</v>
      </c>
      <c r="L283" s="13">
        <v>103.37731181826378</v>
      </c>
      <c r="M283" s="13">
        <v>103.75114247241677</v>
      </c>
    </row>
    <row r="284" spans="1:13" x14ac:dyDescent="0.25">
      <c r="A284" s="1365">
        <v>0.71</v>
      </c>
      <c r="B284" s="13">
        <v>84.5</v>
      </c>
      <c r="C284" s="1375">
        <f t="shared" si="41"/>
        <v>59</v>
      </c>
      <c r="D284" s="1375">
        <v>94.31</v>
      </c>
      <c r="E284" s="1375">
        <v>59</v>
      </c>
      <c r="F284" s="13">
        <v>94.31</v>
      </c>
      <c r="G284" s="13">
        <v>59</v>
      </c>
      <c r="H284" s="13">
        <v>84.87</v>
      </c>
      <c r="I284" s="1366">
        <v>63.03</v>
      </c>
      <c r="J284" s="13">
        <v>92.7</v>
      </c>
      <c r="K284" s="13">
        <v>71.137118948805636</v>
      </c>
      <c r="L284" s="13">
        <v>103.75114247241677</v>
      </c>
      <c r="M284" s="13">
        <v>105.51207226664488</v>
      </c>
    </row>
    <row r="285" spans="1:13" x14ac:dyDescent="0.25">
      <c r="A285" s="1365">
        <v>0.72</v>
      </c>
      <c r="B285" s="13">
        <v>87</v>
      </c>
      <c r="C285" s="1375">
        <f t="shared" si="41"/>
        <v>59</v>
      </c>
      <c r="D285" s="1375">
        <v>95.45</v>
      </c>
      <c r="E285" s="1375">
        <v>59</v>
      </c>
      <c r="F285" s="13">
        <v>95.45</v>
      </c>
      <c r="G285" s="13">
        <v>59</v>
      </c>
      <c r="H285" s="13">
        <v>85.97</v>
      </c>
      <c r="I285" s="1366">
        <v>63.48</v>
      </c>
      <c r="J285" s="13">
        <v>94</v>
      </c>
      <c r="K285" s="13">
        <v>71.914845272359983</v>
      </c>
      <c r="L285" s="13">
        <v>105.32544797687862</v>
      </c>
      <c r="M285" s="13">
        <v>105.70844152800562</v>
      </c>
    </row>
    <row r="286" spans="1:13" x14ac:dyDescent="0.25">
      <c r="A286" s="1365">
        <v>0.73</v>
      </c>
      <c r="B286" s="13">
        <v>87</v>
      </c>
      <c r="C286" s="1375">
        <f t="shared" si="41"/>
        <v>59.7</v>
      </c>
      <c r="D286" s="1375">
        <v>96.45</v>
      </c>
      <c r="E286" s="1375">
        <v>59.7</v>
      </c>
      <c r="F286" s="13">
        <v>96.45</v>
      </c>
      <c r="G286" s="13">
        <v>59.7</v>
      </c>
      <c r="H286" s="13">
        <v>86.93</v>
      </c>
      <c r="I286" s="1366">
        <v>64.2</v>
      </c>
      <c r="J286" s="13">
        <v>94</v>
      </c>
      <c r="K286" s="13">
        <v>73.593136296276981</v>
      </c>
      <c r="L286" s="13">
        <v>105.55570106761566</v>
      </c>
      <c r="M286" s="13">
        <v>107.45330748468362</v>
      </c>
    </row>
    <row r="287" spans="1:13" x14ac:dyDescent="0.25">
      <c r="A287" s="1365">
        <v>0.74</v>
      </c>
      <c r="B287" s="13">
        <v>89.4</v>
      </c>
      <c r="C287" s="1375">
        <f t="shared" si="41"/>
        <v>61.4</v>
      </c>
      <c r="D287" s="1375">
        <v>97.7</v>
      </c>
      <c r="E287" s="1375">
        <v>61.4</v>
      </c>
      <c r="F287" s="13">
        <v>97.7</v>
      </c>
      <c r="G287" s="13">
        <v>61.4</v>
      </c>
      <c r="H287" s="13">
        <v>88.26</v>
      </c>
      <c r="I287" s="1366">
        <v>64.739999999999995</v>
      </c>
      <c r="J287" s="13">
        <v>95.7</v>
      </c>
      <c r="K287" s="13">
        <v>74.167187295700657</v>
      </c>
      <c r="L287" s="13">
        <v>106.47773148449537</v>
      </c>
      <c r="M287" s="13">
        <v>107.56863957441563</v>
      </c>
    </row>
    <row r="288" spans="1:13" x14ac:dyDescent="0.25">
      <c r="A288" s="1365">
        <v>0.75</v>
      </c>
      <c r="B288" s="13">
        <v>89.4</v>
      </c>
      <c r="C288" s="1375">
        <f t="shared" si="41"/>
        <v>62.3</v>
      </c>
      <c r="D288" s="1375">
        <v>98.6</v>
      </c>
      <c r="E288" s="1375">
        <v>62.3</v>
      </c>
      <c r="F288" s="13">
        <v>98.6</v>
      </c>
      <c r="G288" s="13">
        <v>62.3</v>
      </c>
      <c r="H288" s="13">
        <v>90.49</v>
      </c>
      <c r="I288" s="1366">
        <v>65.260000000000005</v>
      </c>
      <c r="J288" s="13">
        <v>95.7</v>
      </c>
      <c r="K288" s="13">
        <v>75.904157232134779</v>
      </c>
      <c r="L288" s="13">
        <v>107.5263028969043</v>
      </c>
      <c r="M288" s="13">
        <v>108.99494412303713</v>
      </c>
    </row>
    <row r="289" spans="1:13" x14ac:dyDescent="0.25">
      <c r="A289" s="1365">
        <v>0.76</v>
      </c>
      <c r="B289" s="13">
        <v>92.2</v>
      </c>
      <c r="C289" s="1375">
        <f t="shared" si="41"/>
        <v>63.2</v>
      </c>
      <c r="D289" s="1375">
        <v>99.28</v>
      </c>
      <c r="E289" s="1375">
        <v>63.2</v>
      </c>
      <c r="F289" s="13">
        <v>99.28</v>
      </c>
      <c r="G289" s="13">
        <v>63.2</v>
      </c>
      <c r="H289" s="13">
        <v>91.99</v>
      </c>
      <c r="I289" s="1366">
        <v>66.319999999999993</v>
      </c>
      <c r="J289" s="13">
        <v>97.4</v>
      </c>
      <c r="K289" s="13">
        <v>77.723710899967969</v>
      </c>
      <c r="L289" s="13">
        <v>107.77711720824378</v>
      </c>
      <c r="M289" s="13">
        <v>109.19202100130748</v>
      </c>
    </row>
    <row r="290" spans="1:13" x14ac:dyDescent="0.25">
      <c r="A290" s="1365">
        <v>0.77</v>
      </c>
      <c r="B290" s="13">
        <v>92.2</v>
      </c>
      <c r="C290" s="1375">
        <f t="shared" si="41"/>
        <v>63.9</v>
      </c>
      <c r="D290" s="1375">
        <v>99.79</v>
      </c>
      <c r="E290" s="1375">
        <v>63.9</v>
      </c>
      <c r="F290" s="13">
        <v>99.79</v>
      </c>
      <c r="G290" s="13">
        <v>63.9</v>
      </c>
      <c r="H290" s="13">
        <v>93.35</v>
      </c>
      <c r="I290" s="1366">
        <v>66.98</v>
      </c>
      <c r="J290" s="13">
        <v>97.4</v>
      </c>
      <c r="K290" s="13">
        <v>79.378564037517933</v>
      </c>
      <c r="L290" s="13">
        <v>109.1118536243726</v>
      </c>
      <c r="M290" s="13">
        <v>110.36270743395779</v>
      </c>
    </row>
    <row r="291" spans="1:13" x14ac:dyDescent="0.25">
      <c r="A291" s="1365">
        <v>0.78</v>
      </c>
      <c r="B291" s="13">
        <v>95.3</v>
      </c>
      <c r="C291" s="1375">
        <f t="shared" si="41"/>
        <v>64.3</v>
      </c>
      <c r="D291" s="1375">
        <v>100.66</v>
      </c>
      <c r="E291" s="1375">
        <v>64.3</v>
      </c>
      <c r="F291" s="13">
        <v>100.66</v>
      </c>
      <c r="G291" s="13">
        <v>64.3</v>
      </c>
      <c r="H291" s="13">
        <v>94.29</v>
      </c>
      <c r="I291" s="1366">
        <v>67.97</v>
      </c>
      <c r="J291" s="13">
        <v>99.2</v>
      </c>
      <c r="K291" s="13">
        <v>80.575966351209246</v>
      </c>
      <c r="L291" s="13">
        <v>110.36270743395779</v>
      </c>
      <c r="M291" s="13">
        <v>110.72664954509442</v>
      </c>
    </row>
    <row r="292" spans="1:13" x14ac:dyDescent="0.25">
      <c r="A292" s="1365">
        <v>0.79</v>
      </c>
      <c r="B292" s="13">
        <v>95.3</v>
      </c>
      <c r="C292" s="1375">
        <f t="shared" si="41"/>
        <v>64.7</v>
      </c>
      <c r="D292" s="1375">
        <v>101.62</v>
      </c>
      <c r="E292" s="1375">
        <v>64.7</v>
      </c>
      <c r="F292" s="13">
        <v>101.62</v>
      </c>
      <c r="G292" s="13">
        <v>64.7</v>
      </c>
      <c r="H292" s="13">
        <v>95.57</v>
      </c>
      <c r="I292" s="1366">
        <v>68.67</v>
      </c>
      <c r="J292" s="13">
        <v>99.2</v>
      </c>
      <c r="K292" s="13">
        <v>81.045429550603146</v>
      </c>
      <c r="L292" s="13">
        <v>110.72664954509442</v>
      </c>
      <c r="M292" s="13">
        <v>111.31754368172466</v>
      </c>
    </row>
    <row r="293" spans="1:13" x14ac:dyDescent="0.25">
      <c r="A293" s="1365">
        <v>0.8</v>
      </c>
      <c r="B293" s="13">
        <v>97.2</v>
      </c>
      <c r="C293" s="1375">
        <f t="shared" si="41"/>
        <v>66.5</v>
      </c>
      <c r="D293" s="1375">
        <v>103.15</v>
      </c>
      <c r="E293" s="1375">
        <v>66.5</v>
      </c>
      <c r="F293" s="13">
        <v>103.15</v>
      </c>
      <c r="G293" s="13">
        <v>66.5</v>
      </c>
      <c r="H293" s="13">
        <v>96.99</v>
      </c>
      <c r="I293" s="1366">
        <v>69.459999999999994</v>
      </c>
      <c r="J293" s="13">
        <v>101.4</v>
      </c>
      <c r="K293" s="13">
        <v>83.702644810714517</v>
      </c>
      <c r="L293" s="13">
        <v>111.31754368172466</v>
      </c>
      <c r="M293" s="13">
        <v>112.84494821092279</v>
      </c>
    </row>
    <row r="294" spans="1:13" x14ac:dyDescent="0.25">
      <c r="A294" s="1365">
        <v>0.81</v>
      </c>
      <c r="B294" s="13">
        <v>97.2</v>
      </c>
      <c r="C294" s="1375">
        <f t="shared" si="41"/>
        <v>67</v>
      </c>
      <c r="D294" s="1375">
        <v>104.11</v>
      </c>
      <c r="E294" s="1375">
        <v>67</v>
      </c>
      <c r="F294" s="13">
        <v>104.11</v>
      </c>
      <c r="G294" s="13">
        <v>67</v>
      </c>
      <c r="H294" s="13">
        <v>97.92</v>
      </c>
      <c r="I294" s="1366">
        <v>71.38</v>
      </c>
      <c r="J294" s="13">
        <v>101.4</v>
      </c>
      <c r="K294" s="13">
        <v>84.170371450594757</v>
      </c>
      <c r="L294" s="13">
        <v>112.84494821092279</v>
      </c>
      <c r="M294" s="13">
        <v>113.14760698623925</v>
      </c>
    </row>
    <row r="295" spans="1:13" x14ac:dyDescent="0.25">
      <c r="A295" s="1365">
        <v>0.82</v>
      </c>
      <c r="B295" s="13">
        <v>98</v>
      </c>
      <c r="C295" s="1375">
        <f t="shared" si="41"/>
        <v>67.8</v>
      </c>
      <c r="D295" s="1375">
        <v>104.89</v>
      </c>
      <c r="E295" s="1375">
        <v>67.8</v>
      </c>
      <c r="F295" s="13">
        <v>104.89</v>
      </c>
      <c r="G295" s="13">
        <v>67.8</v>
      </c>
      <c r="H295" s="13">
        <v>99.36</v>
      </c>
      <c r="I295" s="1366">
        <v>73.349999999999994</v>
      </c>
      <c r="J295" s="13">
        <v>102.8</v>
      </c>
      <c r="K295" s="13">
        <v>85.104457050243099</v>
      </c>
      <c r="L295" s="13">
        <v>113.14760698623925</v>
      </c>
      <c r="M295" s="13">
        <v>113.88050526048525</v>
      </c>
    </row>
    <row r="296" spans="1:13" x14ac:dyDescent="0.25">
      <c r="A296" s="1365">
        <v>0.83</v>
      </c>
      <c r="B296" s="13">
        <v>98</v>
      </c>
      <c r="C296" s="1375">
        <f t="shared" si="41"/>
        <v>70.7</v>
      </c>
      <c r="D296" s="1375">
        <v>106.81</v>
      </c>
      <c r="E296" s="1375">
        <v>70.7</v>
      </c>
      <c r="F296" s="13">
        <v>106.81</v>
      </c>
      <c r="G296" s="13">
        <v>70.7</v>
      </c>
      <c r="H296" s="13">
        <v>99.85</v>
      </c>
      <c r="I296" s="1366">
        <v>74.209999999999994</v>
      </c>
      <c r="J296" s="13">
        <v>102.8</v>
      </c>
      <c r="K296" s="13">
        <v>85.600769890777528</v>
      </c>
      <c r="L296" s="13">
        <v>113.88050526048525</v>
      </c>
      <c r="M296" s="13">
        <v>114.40831291879816</v>
      </c>
    </row>
    <row r="297" spans="1:13" x14ac:dyDescent="0.25">
      <c r="A297" s="1365">
        <v>0.84</v>
      </c>
      <c r="B297" s="13">
        <v>100.2</v>
      </c>
      <c r="C297" s="1375">
        <f t="shared" si="41"/>
        <v>71.099999999999994</v>
      </c>
      <c r="D297" s="1375">
        <v>107.89</v>
      </c>
      <c r="E297" s="1375">
        <v>71.099999999999994</v>
      </c>
      <c r="F297" s="13">
        <v>107.89</v>
      </c>
      <c r="G297" s="13">
        <v>71.099999999999994</v>
      </c>
      <c r="H297" s="13">
        <v>100.78</v>
      </c>
      <c r="I297" s="1366">
        <v>74.95</v>
      </c>
      <c r="J297" s="13">
        <v>104.2</v>
      </c>
      <c r="K297" s="13">
        <v>87.381649246697719</v>
      </c>
      <c r="L297" s="13">
        <v>114.40831291879816</v>
      </c>
      <c r="M297" s="13">
        <v>114.9209486166008</v>
      </c>
    </row>
    <row r="298" spans="1:13" x14ac:dyDescent="0.25">
      <c r="A298" s="1365">
        <v>0.85</v>
      </c>
      <c r="B298" s="13">
        <v>100.2</v>
      </c>
      <c r="C298" s="1375">
        <f t="shared" si="41"/>
        <v>72.5</v>
      </c>
      <c r="D298" s="1375">
        <v>109.03</v>
      </c>
      <c r="E298" s="1375">
        <v>72.5</v>
      </c>
      <c r="F298" s="13">
        <v>109.03</v>
      </c>
      <c r="G298" s="13">
        <v>72.5</v>
      </c>
      <c r="H298" s="13">
        <v>102.72</v>
      </c>
      <c r="I298" s="1366">
        <v>76.569999999999993</v>
      </c>
      <c r="J298" s="13">
        <v>104.2</v>
      </c>
      <c r="K298" s="13">
        <v>89.43742461569849</v>
      </c>
      <c r="L298" s="13">
        <v>114.9209486166008</v>
      </c>
      <c r="M298" s="13">
        <v>116.93676790415503</v>
      </c>
    </row>
    <row r="299" spans="1:13" x14ac:dyDescent="0.25">
      <c r="A299" s="1365">
        <v>0.86</v>
      </c>
      <c r="B299" s="13">
        <v>106.7</v>
      </c>
      <c r="C299" s="1375">
        <f t="shared" si="41"/>
        <v>74.2</v>
      </c>
      <c r="D299" s="1375">
        <v>110.59</v>
      </c>
      <c r="E299" s="1375">
        <v>74.2</v>
      </c>
      <c r="F299" s="13">
        <v>110.59</v>
      </c>
      <c r="G299" s="13">
        <v>74.2</v>
      </c>
      <c r="H299" s="13">
        <v>105.2</v>
      </c>
      <c r="I299" s="1366">
        <v>78.87</v>
      </c>
      <c r="J299" s="13">
        <v>105.7</v>
      </c>
      <c r="K299" s="13">
        <v>92.046980796931763</v>
      </c>
      <c r="L299" s="13">
        <v>116.93676790415503</v>
      </c>
      <c r="M299" s="13">
        <v>117.2304312094326</v>
      </c>
    </row>
    <row r="300" spans="1:13" x14ac:dyDescent="0.25">
      <c r="A300" s="1365">
        <v>0.87</v>
      </c>
      <c r="B300" s="13">
        <v>106.7</v>
      </c>
      <c r="C300" s="1375">
        <f t="shared" si="41"/>
        <v>74.3</v>
      </c>
      <c r="D300" s="1375">
        <v>111.79</v>
      </c>
      <c r="E300" s="1375">
        <v>74.3</v>
      </c>
      <c r="F300" s="13">
        <v>111.79</v>
      </c>
      <c r="G300" s="13">
        <v>74.3</v>
      </c>
      <c r="H300" s="13">
        <v>108</v>
      </c>
      <c r="I300" s="1366">
        <v>81.87</v>
      </c>
      <c r="J300" s="13">
        <v>105.7</v>
      </c>
      <c r="K300" s="13">
        <v>93.1875631297425</v>
      </c>
      <c r="L300" s="13">
        <v>117.2304312094326</v>
      </c>
      <c r="M300" s="13">
        <v>117.66968048587273</v>
      </c>
    </row>
    <row r="301" spans="1:13" x14ac:dyDescent="0.25">
      <c r="A301" s="1365">
        <v>0.88</v>
      </c>
      <c r="B301" s="13">
        <v>113.7</v>
      </c>
      <c r="C301" s="1375">
        <f t="shared" si="41"/>
        <v>77.400000000000006</v>
      </c>
      <c r="D301" s="1375">
        <v>113.71</v>
      </c>
      <c r="E301" s="1375">
        <v>77.400000000000006</v>
      </c>
      <c r="F301" s="13">
        <v>113.71</v>
      </c>
      <c r="G301" s="13">
        <v>77.400000000000006</v>
      </c>
      <c r="H301" s="13">
        <v>110.04</v>
      </c>
      <c r="I301" s="1366">
        <v>83.62</v>
      </c>
      <c r="J301" s="13">
        <v>107.7</v>
      </c>
      <c r="K301" s="13">
        <v>94.128153849576222</v>
      </c>
      <c r="L301" s="13">
        <v>117.66968048587273</v>
      </c>
      <c r="M301" s="13">
        <v>122.12375088014801</v>
      </c>
    </row>
    <row r="302" spans="1:13" x14ac:dyDescent="0.25">
      <c r="A302" s="1365">
        <v>0.89</v>
      </c>
      <c r="B302" s="13">
        <v>113.7</v>
      </c>
      <c r="C302" s="1375">
        <f t="shared" si="41"/>
        <v>86</v>
      </c>
      <c r="D302" s="1375">
        <v>115.95</v>
      </c>
      <c r="E302" s="1375">
        <v>86</v>
      </c>
      <c r="F302" s="13">
        <v>115.95</v>
      </c>
      <c r="G302" s="13">
        <v>86</v>
      </c>
      <c r="H302" s="13">
        <v>111.88</v>
      </c>
      <c r="I302" s="1366">
        <v>86.35</v>
      </c>
      <c r="J302" s="13">
        <v>107.7</v>
      </c>
      <c r="K302" s="13">
        <v>96.736816870144295</v>
      </c>
      <c r="L302" s="13">
        <v>122.66958265980897</v>
      </c>
      <c r="M302" s="13">
        <v>122.98617489813704</v>
      </c>
    </row>
    <row r="303" spans="1:13" x14ac:dyDescent="0.25">
      <c r="A303" s="1365">
        <v>0.9</v>
      </c>
      <c r="B303" s="13">
        <v>124.2</v>
      </c>
      <c r="C303" s="1375">
        <f t="shared" si="41"/>
        <v>89.1</v>
      </c>
      <c r="D303" s="1375">
        <v>117.64</v>
      </c>
      <c r="E303" s="1375">
        <v>89.1</v>
      </c>
      <c r="F303" s="13">
        <v>117.64</v>
      </c>
      <c r="G303" s="13">
        <v>89.1</v>
      </c>
      <c r="H303" s="13">
        <v>115.16</v>
      </c>
      <c r="I303" s="1366">
        <v>90.22</v>
      </c>
      <c r="J303" s="13">
        <v>109.6</v>
      </c>
      <c r="K303" s="13">
        <v>99.470000370961174</v>
      </c>
      <c r="L303" s="13">
        <v>123.90755647698028</v>
      </c>
      <c r="M303" s="13">
        <v>126.64676194154757</v>
      </c>
    </row>
    <row r="304" spans="1:13" x14ac:dyDescent="0.25">
      <c r="A304" s="1365">
        <v>0.91</v>
      </c>
      <c r="B304" s="13">
        <v>124.2</v>
      </c>
      <c r="C304" s="1375">
        <f t="shared" si="41"/>
        <v>91.3</v>
      </c>
      <c r="D304" s="1375">
        <v>118.82</v>
      </c>
      <c r="E304" s="1375">
        <v>91.3</v>
      </c>
      <c r="F304" s="13">
        <v>118.82</v>
      </c>
      <c r="G304" s="13">
        <v>91.3</v>
      </c>
      <c r="H304" s="13">
        <v>119.87</v>
      </c>
      <c r="I304" s="1366">
        <v>96.1</v>
      </c>
      <c r="J304" s="13">
        <v>109.6</v>
      </c>
      <c r="K304" s="13">
        <v>102.58010922895046</v>
      </c>
      <c r="L304" s="13">
        <v>127.91761563661967</v>
      </c>
      <c r="M304" s="13">
        <v>128.53185564778059</v>
      </c>
    </row>
    <row r="305" spans="1:14" x14ac:dyDescent="0.25">
      <c r="A305" s="1365">
        <v>0.92</v>
      </c>
      <c r="B305" s="13">
        <v>131.80000000000001</v>
      </c>
      <c r="C305" s="1375">
        <f t="shared" si="41"/>
        <v>95.1</v>
      </c>
      <c r="D305" s="1375">
        <v>120.76</v>
      </c>
      <c r="E305" s="1375">
        <v>95.1</v>
      </c>
      <c r="F305" s="13">
        <v>120.76</v>
      </c>
      <c r="G305" s="13">
        <v>95.1</v>
      </c>
      <c r="H305" s="13">
        <v>123.51</v>
      </c>
      <c r="I305" s="1366">
        <v>104.74</v>
      </c>
      <c r="J305" s="13">
        <v>113</v>
      </c>
      <c r="K305" s="13">
        <v>104.71783397706164</v>
      </c>
      <c r="L305" s="13">
        <v>131.45131262305839</v>
      </c>
      <c r="M305" s="13">
        <v>131.94241568500888</v>
      </c>
    </row>
    <row r="306" spans="1:14" x14ac:dyDescent="0.25">
      <c r="A306" s="1365">
        <v>0.93</v>
      </c>
      <c r="B306" s="13">
        <v>131.80000000000001</v>
      </c>
      <c r="C306" s="1375">
        <f t="shared" si="41"/>
        <v>105.4</v>
      </c>
      <c r="D306" s="1375">
        <v>123.68</v>
      </c>
      <c r="E306" s="1375">
        <v>105.4</v>
      </c>
      <c r="F306" s="13">
        <v>123.68</v>
      </c>
      <c r="G306" s="13">
        <v>105.4</v>
      </c>
      <c r="H306" s="13">
        <v>126.76</v>
      </c>
      <c r="I306" s="1366">
        <v>110.22</v>
      </c>
      <c r="J306" s="13">
        <v>113</v>
      </c>
      <c r="K306" s="13">
        <v>108.01434664056491</v>
      </c>
      <c r="L306" s="13">
        <v>133.63030100678037</v>
      </c>
      <c r="M306" s="13">
        <v>133.64339193492279</v>
      </c>
    </row>
    <row r="307" spans="1:14" x14ac:dyDescent="0.25">
      <c r="A307" s="1365">
        <v>0.94</v>
      </c>
      <c r="B307" s="13">
        <v>138.19999999999999</v>
      </c>
      <c r="C307" s="1375">
        <f t="shared" si="41"/>
        <v>106.3</v>
      </c>
      <c r="D307" s="1375">
        <v>127.3</v>
      </c>
      <c r="E307" s="1375">
        <v>106.3</v>
      </c>
      <c r="F307" s="13">
        <v>127.3</v>
      </c>
      <c r="G307" s="13">
        <v>106.3</v>
      </c>
      <c r="H307" s="13">
        <v>130.81</v>
      </c>
      <c r="I307" s="1366">
        <v>113.52</v>
      </c>
      <c r="J307" s="13">
        <v>117.8</v>
      </c>
      <c r="K307" s="13">
        <v>112.16248038802799</v>
      </c>
      <c r="L307" s="13">
        <v>133.81024472126512</v>
      </c>
      <c r="M307" s="13">
        <v>134.85030934099322</v>
      </c>
    </row>
    <row r="308" spans="1:14" x14ac:dyDescent="0.25">
      <c r="A308" s="1365">
        <v>0.95</v>
      </c>
      <c r="B308" s="13">
        <v>142</v>
      </c>
      <c r="C308" s="1375">
        <f t="shared" si="41"/>
        <v>147.30000000000001</v>
      </c>
      <c r="D308" s="1375">
        <v>132.15</v>
      </c>
      <c r="E308" s="1375">
        <v>147.30000000000001</v>
      </c>
      <c r="F308" s="13">
        <v>132.15</v>
      </c>
      <c r="G308" s="13">
        <v>147.30000000000001</v>
      </c>
      <c r="H308" s="13">
        <v>137.57</v>
      </c>
      <c r="I308" s="1366">
        <v>122.4</v>
      </c>
      <c r="J308" s="13">
        <v>124.3</v>
      </c>
      <c r="K308" s="13">
        <v>120.91545666198661</v>
      </c>
      <c r="L308" s="13">
        <v>139.45064148537733</v>
      </c>
      <c r="M308" s="13">
        <v>140.93350131836351</v>
      </c>
    </row>
    <row r="309" spans="1:14" x14ac:dyDescent="0.25">
      <c r="A309" s="1365">
        <v>0.96</v>
      </c>
      <c r="B309" s="13">
        <v>149.9</v>
      </c>
      <c r="C309" s="1375">
        <f t="shared" si="41"/>
        <v>179.6</v>
      </c>
      <c r="D309" s="1375">
        <v>140.19</v>
      </c>
      <c r="E309" s="1375">
        <v>179.6</v>
      </c>
      <c r="F309" s="13">
        <v>140.19</v>
      </c>
      <c r="G309" s="13">
        <v>179.6</v>
      </c>
      <c r="H309" s="13">
        <v>141.94</v>
      </c>
      <c r="I309" s="1366">
        <v>135.6</v>
      </c>
      <c r="J309" s="13">
        <v>124.3</v>
      </c>
      <c r="K309" s="13">
        <v>126.15288201160541</v>
      </c>
      <c r="L309" s="13">
        <v>141.66891637958034</v>
      </c>
      <c r="M309" s="13">
        <v>142.45973761912339</v>
      </c>
    </row>
    <row r="310" spans="1:14" x14ac:dyDescent="0.25">
      <c r="A310" s="1365">
        <v>0.97</v>
      </c>
      <c r="B310" s="13">
        <v>158.69999999999999</v>
      </c>
      <c r="C310" s="1375">
        <f t="shared" si="41"/>
        <v>192</v>
      </c>
      <c r="D310" s="1375">
        <v>145.26</v>
      </c>
      <c r="E310" s="1375">
        <v>192</v>
      </c>
      <c r="F310" s="13">
        <v>145.26</v>
      </c>
      <c r="G310" s="13">
        <v>192</v>
      </c>
      <c r="H310" s="13">
        <v>153.62</v>
      </c>
      <c r="I310" s="1366">
        <v>143.68</v>
      </c>
      <c r="J310" s="13">
        <v>140.9</v>
      </c>
      <c r="K310" s="13">
        <v>133.46637312057405</v>
      </c>
      <c r="L310" s="13">
        <v>147.50499506878862</v>
      </c>
      <c r="M310" s="13">
        <v>148.10401095206072</v>
      </c>
    </row>
    <row r="311" spans="1:14" x14ac:dyDescent="0.25">
      <c r="A311" s="1365">
        <v>0.98</v>
      </c>
      <c r="B311" s="13">
        <v>170.7</v>
      </c>
      <c r="C311" s="1375">
        <f t="shared" si="41"/>
        <v>206.8</v>
      </c>
      <c r="D311" s="1375">
        <v>155.91999999999999</v>
      </c>
      <c r="E311" s="1375">
        <v>206.8</v>
      </c>
      <c r="F311" s="13">
        <v>155.91999999999999</v>
      </c>
      <c r="G311" s="13">
        <v>206.8</v>
      </c>
      <c r="H311" s="13">
        <v>169.56</v>
      </c>
      <c r="I311" s="1366">
        <v>154.21</v>
      </c>
      <c r="J311" s="13">
        <v>140.9</v>
      </c>
      <c r="K311" s="13">
        <v>156.27196427833135</v>
      </c>
      <c r="L311" s="13">
        <v>169.55779052225031</v>
      </c>
      <c r="M311" s="13">
        <v>180.92197167483283</v>
      </c>
    </row>
    <row r="312" spans="1:14" x14ac:dyDescent="0.25">
      <c r="A312" s="1365">
        <v>0.99</v>
      </c>
      <c r="B312" s="13">
        <v>186.1</v>
      </c>
      <c r="C312" s="1375">
        <f t="shared" si="41"/>
        <v>216.5</v>
      </c>
      <c r="D312" s="1375">
        <v>175.85</v>
      </c>
      <c r="E312" s="1375">
        <v>216.5</v>
      </c>
      <c r="F312" s="13">
        <v>175.85</v>
      </c>
      <c r="G312" s="13">
        <v>216.5</v>
      </c>
      <c r="H312" s="13">
        <v>195.62</v>
      </c>
      <c r="I312" s="1366">
        <v>157.52000000000001</v>
      </c>
      <c r="J312" s="13">
        <v>179.6</v>
      </c>
      <c r="K312" s="13">
        <v>176.09318277176789</v>
      </c>
      <c r="L312" s="13">
        <v>188.32405924739791</v>
      </c>
      <c r="M312" s="13">
        <v>199.40034812880765</v>
      </c>
    </row>
    <row r="313" spans="1:14" x14ac:dyDescent="0.25">
      <c r="A313" s="1365">
        <v>1</v>
      </c>
      <c r="B313" s="13">
        <v>192.2</v>
      </c>
      <c r="C313" s="1375">
        <f t="shared" si="41"/>
        <v>250</v>
      </c>
      <c r="D313" s="1375">
        <v>241.52</v>
      </c>
      <c r="E313" s="1375">
        <v>250</v>
      </c>
      <c r="F313" s="13">
        <v>241.52</v>
      </c>
      <c r="G313" s="13">
        <v>250</v>
      </c>
      <c r="H313" s="13">
        <v>227.99</v>
      </c>
      <c r="I313" s="1366">
        <v>209.48</v>
      </c>
      <c r="J313" s="13">
        <v>179.6</v>
      </c>
      <c r="K313" s="13">
        <v>202.11355391533044</v>
      </c>
      <c r="L313" s="13">
        <v>201.91379093198992</v>
      </c>
      <c r="M313" s="13">
        <v>227.17235218464299</v>
      </c>
    </row>
    <row r="314" spans="1:14" x14ac:dyDescent="0.25">
      <c r="A314" s="1365" t="s">
        <v>1992</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1856</v>
      </c>
      <c r="B315" s="13" t="e">
        <f>AVERAGE('классы ЭЭ и выбросы ПГ'!$Y$48)</f>
        <v>#VALUE!</v>
      </c>
      <c r="C315" s="13" t="e">
        <f>B315</f>
        <v>#VALUE!</v>
      </c>
      <c r="D315" s="13" t="e">
        <f>AVERAGE('классы ЭЭ и выбросы ПГ'!$Z$48:$AA$48)</f>
        <v>#VALUE!</v>
      </c>
      <c r="E315" s="13" t="e">
        <f>D315</f>
        <v>#VALUE!</v>
      </c>
      <c r="F315" s="13" t="e">
        <f>AVERAGE('классы ЭЭ и выбросы ПГ'!$AB$48:$AC$48)</f>
        <v>#VALUE!</v>
      </c>
      <c r="G315" s="13" t="e">
        <f>F315</f>
        <v>#VALUE!</v>
      </c>
      <c r="H315" s="13" t="e">
        <f>AVERAGE('классы ЭЭ и выбросы ПГ'!$AD$48:$AE$48)</f>
        <v>#VALUE!</v>
      </c>
      <c r="I315" s="13" t="e">
        <f>H315</f>
        <v>#VALUE!</v>
      </c>
      <c r="J315" s="13" t="e">
        <f>AVERAGE('классы ЭЭ и выбросы ПГ'!$AF$48:$AG$48)</f>
        <v>#VALUE!</v>
      </c>
      <c r="K315" s="13" t="e">
        <f>J315</f>
        <v>#VALUE!</v>
      </c>
      <c r="L315" s="13" t="e">
        <f>AVERAGE('классы ЭЭ и выбросы ПГ'!$AH$48:$AN$48)</f>
        <v>#VALUE!</v>
      </c>
      <c r="M315" s="13" t="e">
        <f>L315</f>
        <v>#VALUE!</v>
      </c>
    </row>
    <row r="316" spans="1:14" x14ac:dyDescent="0.25">
      <c r="A316" s="13" t="s">
        <v>1855</v>
      </c>
      <c r="B316" s="13" t="e">
        <f t="shared" ref="B316:M316" si="42">0.4*B315</f>
        <v>#VALUE!</v>
      </c>
      <c r="C316" s="13" t="e">
        <f t="shared" si="42"/>
        <v>#VALUE!</v>
      </c>
      <c r="D316" s="13" t="e">
        <f t="shared" si="42"/>
        <v>#VALUE!</v>
      </c>
      <c r="E316" s="13" t="e">
        <f t="shared" si="42"/>
        <v>#VALUE!</v>
      </c>
      <c r="F316" s="13" t="e">
        <f t="shared" si="42"/>
        <v>#VALUE!</v>
      </c>
      <c r="G316" s="13" t="e">
        <f t="shared" si="42"/>
        <v>#VALUE!</v>
      </c>
      <c r="H316" s="13" t="e">
        <f t="shared" si="42"/>
        <v>#VALUE!</v>
      </c>
      <c r="I316" s="13" t="e">
        <f t="shared" si="42"/>
        <v>#VALUE!</v>
      </c>
      <c r="J316" s="13" t="e">
        <f t="shared" si="42"/>
        <v>#VALUE!</v>
      </c>
      <c r="K316" s="13" t="e">
        <f t="shared" si="42"/>
        <v>#VALUE!</v>
      </c>
      <c r="L316" s="13" t="e">
        <f t="shared" si="42"/>
        <v>#VALUE!</v>
      </c>
      <c r="M316" s="13" t="e">
        <f t="shared" si="42"/>
        <v>#VALUE!</v>
      </c>
    </row>
    <row r="317" spans="1:14" x14ac:dyDescent="0.25">
      <c r="A317" s="13"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s="13" t="s">
        <v>1482</v>
      </c>
    </row>
    <row r="318" spans="1:14" x14ac:dyDescent="0.25">
      <c r="A318" s="1365">
        <v>0</v>
      </c>
      <c r="B318" s="13">
        <v>2.276803602669434E-2</v>
      </c>
      <c r="C318" s="13">
        <v>2.466377575598927E-2</v>
      </c>
      <c r="D318" s="1375">
        <v>2.5000000000000001E-2</v>
      </c>
      <c r="E318" s="1375">
        <v>0.02</v>
      </c>
      <c r="F318" s="13">
        <v>2.5000000000000001E-2</v>
      </c>
      <c r="G318" s="13">
        <v>0.02</v>
      </c>
      <c r="H318" s="13">
        <v>2.7699999999999999E-2</v>
      </c>
      <c r="I318" s="1366">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0</v>
      </c>
    </row>
    <row r="319" spans="1:14" x14ac:dyDescent="0.25">
      <c r="A319" s="1365">
        <v>0.01</v>
      </c>
      <c r="B319" s="13">
        <v>2.6854543598449094E-2</v>
      </c>
      <c r="C319" s="13">
        <v>2.4879144504379846E-2</v>
      </c>
      <c r="D319" s="1375">
        <v>2.63E-2</v>
      </c>
      <c r="E319" s="1375">
        <v>0.02</v>
      </c>
      <c r="F319" s="13">
        <v>2.63E-2</v>
      </c>
      <c r="G319" s="13">
        <v>0.02</v>
      </c>
      <c r="H319" s="13">
        <v>3.1600000000000003E-2</v>
      </c>
      <c r="I319" s="1366">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0</v>
      </c>
    </row>
    <row r="320" spans="1:14" x14ac:dyDescent="0.25">
      <c r="A320" s="1365">
        <v>0.02</v>
      </c>
      <c r="B320" s="13">
        <v>3.1628884245603207E-2</v>
      </c>
      <c r="C320" s="13">
        <v>2.585736126909606E-2</v>
      </c>
      <c r="D320" s="1375">
        <v>2.8299999999999999E-2</v>
      </c>
      <c r="E320" s="1375">
        <v>0.02</v>
      </c>
      <c r="F320" s="13">
        <v>2.8299999999999999E-2</v>
      </c>
      <c r="G320" s="13">
        <v>0.02</v>
      </c>
      <c r="H320" s="13">
        <v>3.49E-2</v>
      </c>
      <c r="I320" s="1366">
        <v>2.3900000000000001E-2</v>
      </c>
      <c r="J320" s="13">
        <v>2.9000000000000001E-2</v>
      </c>
      <c r="K320" s="13">
        <v>2.9657547633598472E-2</v>
      </c>
      <c r="L320" s="13">
        <v>2.6520801497923803E-2</v>
      </c>
      <c r="M320" s="13">
        <v>2.0401009368571369E-2</v>
      </c>
      <c r="N320" s="13">
        <f t="shared" si="43"/>
        <v>0</v>
      </c>
    </row>
    <row r="321" spans="1:14" x14ac:dyDescent="0.25">
      <c r="A321" s="1365">
        <v>0.03</v>
      </c>
      <c r="B321" s="13">
        <v>3.4055039674645946E-2</v>
      </c>
      <c r="C321" s="13">
        <v>2.6028739750682886E-2</v>
      </c>
      <c r="D321" s="1375">
        <v>3.0499999999999999E-2</v>
      </c>
      <c r="E321" s="1375">
        <v>0.02</v>
      </c>
      <c r="F321" s="13">
        <v>3.0499999999999999E-2</v>
      </c>
      <c r="G321" s="13">
        <v>0.02</v>
      </c>
      <c r="H321" s="13">
        <v>3.5900000000000001E-2</v>
      </c>
      <c r="I321" s="1366">
        <v>2.46E-2</v>
      </c>
      <c r="J321" s="13">
        <v>2.9000000000000001E-2</v>
      </c>
      <c r="K321" s="13">
        <v>3.0316466540082108E-2</v>
      </c>
      <c r="L321" s="13">
        <v>2.735775789885006E-2</v>
      </c>
      <c r="M321" s="13">
        <v>2.0625337296124625E-2</v>
      </c>
      <c r="N321" s="13">
        <f t="shared" si="43"/>
        <v>0</v>
      </c>
    </row>
    <row r="322" spans="1:14" x14ac:dyDescent="0.25">
      <c r="A322" s="1365">
        <v>0.04</v>
      </c>
      <c r="B322" s="13">
        <v>3.500287853360888E-2</v>
      </c>
      <c r="C322" s="13">
        <v>2.6837581627409995E-2</v>
      </c>
      <c r="D322" s="1375">
        <v>3.8600000000000002E-2</v>
      </c>
      <c r="E322" s="1375">
        <v>2.1999999999999999E-2</v>
      </c>
      <c r="F322" s="13">
        <v>3.8600000000000002E-2</v>
      </c>
      <c r="G322" s="13">
        <v>2.1999999999999999E-2</v>
      </c>
      <c r="H322" s="13">
        <v>3.6999999999999998E-2</v>
      </c>
      <c r="I322" s="1366">
        <v>2.47E-2</v>
      </c>
      <c r="J322" s="13">
        <v>0.03</v>
      </c>
      <c r="K322" s="13">
        <v>3.0645836499607865E-2</v>
      </c>
      <c r="L322" s="13">
        <v>2.8416379592097529E-2</v>
      </c>
      <c r="M322" s="13">
        <v>2.2855622658100882E-2</v>
      </c>
      <c r="N322" s="13">
        <f t="shared" si="43"/>
        <v>0</v>
      </c>
    </row>
    <row r="323" spans="1:14" x14ac:dyDescent="0.25">
      <c r="A323" s="1365">
        <v>0.05</v>
      </c>
      <c r="B323" s="13">
        <v>3.7265248494630761E-2</v>
      </c>
      <c r="C323" s="13">
        <v>2.7524572782717804E-2</v>
      </c>
      <c r="D323" s="1375">
        <v>4.5699999999999998E-2</v>
      </c>
      <c r="E323" s="1375">
        <v>2.1999999999999999E-2</v>
      </c>
      <c r="F323" s="13">
        <v>4.5699999999999998E-2</v>
      </c>
      <c r="G323" s="13">
        <v>2.1999999999999999E-2</v>
      </c>
      <c r="H323" s="13">
        <v>3.85E-2</v>
      </c>
      <c r="I323" s="1366">
        <v>2.4899999999999999E-2</v>
      </c>
      <c r="J323" s="13">
        <v>3.1E-2</v>
      </c>
      <c r="K323" s="13">
        <v>3.0809295737553352E-2</v>
      </c>
      <c r="L323" s="13">
        <v>2.8956965167845041E-2</v>
      </c>
      <c r="M323" s="13">
        <v>2.2932838919307908E-2</v>
      </c>
      <c r="N323" s="13">
        <f t="shared" si="43"/>
        <v>0</v>
      </c>
    </row>
    <row r="324" spans="1:14" x14ac:dyDescent="0.25">
      <c r="A324" s="1365">
        <v>0.06</v>
      </c>
      <c r="B324" s="13">
        <v>3.850472255327294E-2</v>
      </c>
      <c r="C324" s="13">
        <v>2.7927805335289397E-2</v>
      </c>
      <c r="D324" s="1375">
        <v>4.7399999999999998E-2</v>
      </c>
      <c r="E324" s="1375">
        <v>2.1999999999999999E-2</v>
      </c>
      <c r="F324" s="13">
        <v>4.7399999999999998E-2</v>
      </c>
      <c r="G324" s="13">
        <v>2.1999999999999999E-2</v>
      </c>
      <c r="H324" s="13">
        <v>3.9800000000000002E-2</v>
      </c>
      <c r="I324" s="1366">
        <v>2.6599999999999999E-2</v>
      </c>
      <c r="J324" s="13">
        <v>3.2000000000000001E-2</v>
      </c>
      <c r="K324" s="13">
        <v>3.1202871224801913E-2</v>
      </c>
      <c r="L324" s="13">
        <v>2.9434852205144441E-2</v>
      </c>
      <c r="M324" s="13">
        <v>2.3063964108683443E-2</v>
      </c>
      <c r="N324" s="13">
        <f t="shared" si="43"/>
        <v>0</v>
      </c>
    </row>
    <row r="325" spans="1:14" x14ac:dyDescent="0.25">
      <c r="A325" s="1365">
        <v>7.0000000000000007E-2</v>
      </c>
      <c r="B325" s="13">
        <v>4.0197274274188372E-2</v>
      </c>
      <c r="C325" s="13">
        <v>2.8636204575150006E-2</v>
      </c>
      <c r="D325" s="1375">
        <v>4.8599999999999997E-2</v>
      </c>
      <c r="E325" s="1375">
        <v>2.1999999999999999E-2</v>
      </c>
      <c r="F325" s="13">
        <v>4.8599999999999997E-2</v>
      </c>
      <c r="G325" s="13">
        <v>2.1999999999999999E-2</v>
      </c>
      <c r="H325" s="13">
        <v>4.1399999999999999E-2</v>
      </c>
      <c r="I325" s="1366">
        <v>2.8299999999999999E-2</v>
      </c>
      <c r="J325" s="13">
        <v>3.2000000000000001E-2</v>
      </c>
      <c r="K325" s="13">
        <v>3.168619520549594E-2</v>
      </c>
      <c r="L325" s="13">
        <v>2.9866115877396703E-2</v>
      </c>
      <c r="M325" s="13">
        <v>2.4428200148704244E-2</v>
      </c>
      <c r="N325" s="13">
        <f t="shared" si="43"/>
        <v>0</v>
      </c>
    </row>
    <row r="326" spans="1:14" x14ac:dyDescent="0.25">
      <c r="A326" s="1365">
        <v>0.08</v>
      </c>
      <c r="B326" s="13">
        <v>4.1325054836774275E-2</v>
      </c>
      <c r="C326" s="13">
        <v>2.8788155404575137E-2</v>
      </c>
      <c r="D326" s="1375">
        <v>5.04E-2</v>
      </c>
      <c r="E326" s="1375">
        <v>2.4E-2</v>
      </c>
      <c r="F326" s="13">
        <v>5.04E-2</v>
      </c>
      <c r="G326" s="13">
        <v>2.4E-2</v>
      </c>
      <c r="H326" s="13">
        <v>4.19E-2</v>
      </c>
      <c r="I326" s="1366">
        <v>2.7199999999999998E-2</v>
      </c>
      <c r="J326" s="13">
        <v>3.3000000000000002E-2</v>
      </c>
      <c r="K326" s="13">
        <v>3.2649087505012026E-2</v>
      </c>
      <c r="L326" s="13">
        <v>3.0643500363092196E-2</v>
      </c>
      <c r="M326" s="13">
        <v>2.4610587465610793E-2</v>
      </c>
      <c r="N326" s="13">
        <f t="shared" si="43"/>
        <v>0</v>
      </c>
    </row>
    <row r="327" spans="1:14" x14ac:dyDescent="0.25">
      <c r="A327" s="1365">
        <v>0.09</v>
      </c>
      <c r="B327" s="13">
        <v>4.2628559477535022E-2</v>
      </c>
      <c r="C327" s="13">
        <v>2.8921742343383548E-2</v>
      </c>
      <c r="D327" s="1375">
        <v>5.0799999999999998E-2</v>
      </c>
      <c r="E327" s="1375">
        <v>2.4E-2</v>
      </c>
      <c r="F327" s="13">
        <v>5.0799999999999998E-2</v>
      </c>
      <c r="G327" s="13">
        <v>2.4E-2</v>
      </c>
      <c r="H327" s="13">
        <v>4.2299999999999997E-2</v>
      </c>
      <c r="I327" s="1366">
        <v>2.98E-2</v>
      </c>
      <c r="J327" s="13">
        <v>3.3000000000000002E-2</v>
      </c>
      <c r="K327" s="13">
        <v>3.3710373197130952E-2</v>
      </c>
      <c r="L327" s="13">
        <v>3.104570807979895E-2</v>
      </c>
      <c r="M327" s="13">
        <v>2.5523063403608021E-2</v>
      </c>
      <c r="N327" s="13">
        <f t="shared" si="43"/>
        <v>0</v>
      </c>
    </row>
    <row r="328" spans="1:14" x14ac:dyDescent="0.25">
      <c r="A328" s="1365">
        <v>0.1</v>
      </c>
      <c r="B328" s="13">
        <v>4.3830988497781748E-2</v>
      </c>
      <c r="C328" s="13">
        <v>2.971096078499311E-2</v>
      </c>
      <c r="D328" s="1375">
        <v>5.21E-2</v>
      </c>
      <c r="E328" s="1375">
        <v>2.5000000000000001E-2</v>
      </c>
      <c r="F328" s="13">
        <v>5.21E-2</v>
      </c>
      <c r="G328" s="13">
        <v>2.5000000000000001E-2</v>
      </c>
      <c r="H328" s="13">
        <v>4.3499999999999997E-2</v>
      </c>
      <c r="I328" s="1366">
        <v>0.03</v>
      </c>
      <c r="J328" s="13">
        <v>3.4000000000000002E-2</v>
      </c>
      <c r="K328" s="13">
        <v>3.392852198916832E-2</v>
      </c>
      <c r="L328" s="13">
        <v>3.1741475056143199E-2</v>
      </c>
      <c r="M328" s="13">
        <v>2.5724217861982181E-2</v>
      </c>
      <c r="N328" s="13">
        <f t="shared" si="43"/>
        <v>0</v>
      </c>
    </row>
    <row r="329" spans="1:14" x14ac:dyDescent="0.25">
      <c r="A329" s="1365">
        <v>0.11</v>
      </c>
      <c r="B329" s="13">
        <v>4.4863263259478696E-2</v>
      </c>
      <c r="C329" s="13">
        <v>2.971096078499311E-2</v>
      </c>
      <c r="D329" s="1375">
        <v>5.4100000000000002E-2</v>
      </c>
      <c r="E329" s="1375">
        <v>2.5000000000000001E-2</v>
      </c>
      <c r="F329" s="13">
        <v>5.4100000000000002E-2</v>
      </c>
      <c r="G329" s="13">
        <v>2.5000000000000001E-2</v>
      </c>
      <c r="H329" s="13">
        <v>4.4299999999999999E-2</v>
      </c>
      <c r="I329" s="1366">
        <v>3.0200000000000001E-2</v>
      </c>
      <c r="J329" s="13">
        <v>3.4000000000000002E-2</v>
      </c>
      <c r="K329" s="13">
        <v>3.4674004213223496E-2</v>
      </c>
      <c r="L329" s="13">
        <v>3.2218953847716954E-2</v>
      </c>
      <c r="M329" s="13">
        <v>2.590383356597202E-2</v>
      </c>
      <c r="N329" s="13">
        <f t="shared" si="43"/>
        <v>0</v>
      </c>
    </row>
    <row r="330" spans="1:14" x14ac:dyDescent="0.25">
      <c r="A330" s="1365">
        <v>0.12</v>
      </c>
      <c r="B330" s="13">
        <v>4.5719348755567525E-2</v>
      </c>
      <c r="C330" s="13">
        <v>3.0565965717981106E-2</v>
      </c>
      <c r="D330" s="1375">
        <v>5.4699999999999999E-2</v>
      </c>
      <c r="E330" s="1375">
        <v>2.5999999999999999E-2</v>
      </c>
      <c r="F330" s="13">
        <v>5.4699999999999999E-2</v>
      </c>
      <c r="G330" s="13">
        <v>2.5999999999999999E-2</v>
      </c>
      <c r="H330" s="13">
        <v>4.4400000000000002E-2</v>
      </c>
      <c r="I330" s="1366">
        <v>3.1E-2</v>
      </c>
      <c r="J330" s="13">
        <v>3.5000000000000003E-2</v>
      </c>
      <c r="K330" s="13">
        <v>3.5052174222263928E-2</v>
      </c>
      <c r="L330" s="13">
        <v>3.2905113045535214E-2</v>
      </c>
      <c r="M330" s="13">
        <v>2.6294700696430161E-2</v>
      </c>
      <c r="N330" s="13">
        <f t="shared" si="43"/>
        <v>0</v>
      </c>
    </row>
    <row r="331" spans="1:14" x14ac:dyDescent="0.25">
      <c r="A331" s="1365">
        <v>0.13</v>
      </c>
      <c r="B331" s="13">
        <v>4.6285677247981348E-2</v>
      </c>
      <c r="C331" s="13">
        <v>3.0756745241400155E-2</v>
      </c>
      <c r="D331" s="1375">
        <v>5.5500000000000001E-2</v>
      </c>
      <c r="E331" s="1375">
        <v>2.5999999999999999E-2</v>
      </c>
      <c r="F331" s="13">
        <v>5.5500000000000001E-2</v>
      </c>
      <c r="G331" s="13">
        <v>2.5999999999999999E-2</v>
      </c>
      <c r="H331" s="13">
        <v>4.53E-2</v>
      </c>
      <c r="I331" s="1366">
        <v>3.1600000000000003E-2</v>
      </c>
      <c r="J331" s="13">
        <v>3.5000000000000003E-2</v>
      </c>
      <c r="K331" s="13">
        <v>3.5337369600673907E-2</v>
      </c>
      <c r="L331" s="13">
        <v>3.3572476703404387E-2</v>
      </c>
      <c r="M331" s="13">
        <v>2.6295780421798573E-2</v>
      </c>
      <c r="N331" s="13">
        <f t="shared" si="43"/>
        <v>0</v>
      </c>
    </row>
    <row r="332" spans="1:14" x14ac:dyDescent="0.25">
      <c r="A332" s="1365">
        <v>0.14000000000000001</v>
      </c>
      <c r="B332" s="13">
        <v>4.6550109410928089E-2</v>
      </c>
      <c r="C332" s="13">
        <v>3.0958224698536672E-2</v>
      </c>
      <c r="D332" s="1375">
        <v>5.6099999999999997E-2</v>
      </c>
      <c r="E332" s="1375">
        <v>2.5999999999999999E-2</v>
      </c>
      <c r="F332" s="13">
        <v>5.6099999999999997E-2</v>
      </c>
      <c r="G332" s="13">
        <v>2.5999999999999999E-2</v>
      </c>
      <c r="H332" s="13">
        <v>4.5900000000000003E-2</v>
      </c>
      <c r="I332" s="1366">
        <v>3.2099999999999997E-2</v>
      </c>
      <c r="J332" s="13">
        <v>3.5999999999999997E-2</v>
      </c>
      <c r="K332" s="13">
        <v>3.5608689661467866E-2</v>
      </c>
      <c r="L332" s="13">
        <v>3.4034637831913919E-2</v>
      </c>
      <c r="M332" s="13">
        <v>2.6514430924318363E-2</v>
      </c>
      <c r="N332" s="13">
        <f t="shared" si="43"/>
        <v>0</v>
      </c>
    </row>
    <row r="333" spans="1:14" x14ac:dyDescent="0.25">
      <c r="A333" s="1365">
        <v>0.15</v>
      </c>
      <c r="B333" s="13">
        <v>4.6641748549768151E-2</v>
      </c>
      <c r="C333" s="13">
        <v>3.1072906134311074E-2</v>
      </c>
      <c r="D333" s="1375">
        <v>5.6099999999999997E-2</v>
      </c>
      <c r="E333" s="1375">
        <v>2.5999999999999999E-2</v>
      </c>
      <c r="F333" s="13">
        <v>5.6099999999999997E-2</v>
      </c>
      <c r="G333" s="13">
        <v>2.5999999999999999E-2</v>
      </c>
      <c r="H333" s="13">
        <v>4.5999999999999999E-2</v>
      </c>
      <c r="I333" s="1366">
        <v>3.2300000000000002E-2</v>
      </c>
      <c r="J333" s="13">
        <v>3.5999999999999997E-2</v>
      </c>
      <c r="K333" s="13">
        <v>3.5755190623575295E-2</v>
      </c>
      <c r="L333" s="13">
        <v>3.4212915869210443E-2</v>
      </c>
      <c r="M333" s="13">
        <v>2.6520801497923803E-2</v>
      </c>
      <c r="N333" s="13">
        <f t="shared" si="43"/>
        <v>0</v>
      </c>
    </row>
    <row r="334" spans="1:14" x14ac:dyDescent="0.25">
      <c r="A334" s="1365">
        <v>0.16</v>
      </c>
      <c r="B334" s="13">
        <v>4.6778639963027391E-2</v>
      </c>
      <c r="C334" s="13">
        <v>3.1447117368756494E-2</v>
      </c>
      <c r="D334" s="1375">
        <v>5.7299999999999997E-2</v>
      </c>
      <c r="E334" s="1375">
        <v>2.7E-2</v>
      </c>
      <c r="F334" s="13">
        <v>5.7299999999999997E-2</v>
      </c>
      <c r="G334" s="13">
        <v>2.7E-2</v>
      </c>
      <c r="H334" s="13">
        <v>4.6399999999999997E-2</v>
      </c>
      <c r="I334" s="1366">
        <v>3.3099999999999997E-2</v>
      </c>
      <c r="J334" s="13">
        <v>3.5999999999999997E-2</v>
      </c>
      <c r="K334" s="13">
        <v>3.6260211071831104E-2</v>
      </c>
      <c r="L334" s="13">
        <v>3.4758160545606286E-2</v>
      </c>
      <c r="M334" s="13">
        <v>2.6749737429961468E-2</v>
      </c>
      <c r="N334" s="13">
        <f t="shared" si="43"/>
        <v>0</v>
      </c>
    </row>
    <row r="335" spans="1:14" x14ac:dyDescent="0.25">
      <c r="A335" s="1365">
        <v>0.17</v>
      </c>
      <c r="B335" s="13">
        <v>4.7184805234955843E-2</v>
      </c>
      <c r="C335" s="13">
        <v>3.2023409571562668E-2</v>
      </c>
      <c r="D335" s="1375">
        <v>5.8599999999999999E-2</v>
      </c>
      <c r="E335" s="1375">
        <v>2.7E-2</v>
      </c>
      <c r="F335" s="13">
        <v>5.8599999999999999E-2</v>
      </c>
      <c r="G335" s="13">
        <v>2.7E-2</v>
      </c>
      <c r="H335" s="13">
        <v>4.65E-2</v>
      </c>
      <c r="I335" s="1366">
        <v>3.3799999999999997E-2</v>
      </c>
      <c r="J335" s="13">
        <v>3.5999999999999997E-2</v>
      </c>
      <c r="K335" s="13">
        <v>3.641620552976596E-2</v>
      </c>
      <c r="L335" s="13">
        <v>3.5227795129316175E-2</v>
      </c>
      <c r="M335" s="13">
        <v>2.7761189746955007E-2</v>
      </c>
      <c r="N335" s="13">
        <f t="shared" si="43"/>
        <v>0</v>
      </c>
    </row>
    <row r="336" spans="1:14" x14ac:dyDescent="0.25">
      <c r="A336" s="1365">
        <v>0.18</v>
      </c>
      <c r="B336" s="13">
        <v>4.7726020623430974E-2</v>
      </c>
      <c r="C336" s="13">
        <v>3.2435849370547228E-2</v>
      </c>
      <c r="D336" s="1375">
        <v>5.9400000000000001E-2</v>
      </c>
      <c r="E336" s="1375">
        <v>2.8000000000000001E-2</v>
      </c>
      <c r="F336" s="13">
        <v>5.9400000000000001E-2</v>
      </c>
      <c r="G336" s="13">
        <v>2.8000000000000001E-2</v>
      </c>
      <c r="H336" s="13">
        <v>4.6800000000000001E-2</v>
      </c>
      <c r="I336" s="1366">
        <v>3.4599999999999999E-2</v>
      </c>
      <c r="J336" s="13">
        <v>3.6999999999999998E-2</v>
      </c>
      <c r="K336" s="13">
        <v>3.6831501594811709E-2</v>
      </c>
      <c r="L336" s="13">
        <v>3.5766281805465018E-2</v>
      </c>
      <c r="M336" s="13">
        <v>2.7864222906225949E-2</v>
      </c>
      <c r="N336" s="13">
        <f t="shared" si="43"/>
        <v>0</v>
      </c>
    </row>
    <row r="337" spans="1:14" x14ac:dyDescent="0.25">
      <c r="A337" s="1365">
        <v>0.19</v>
      </c>
      <c r="B337" s="13">
        <v>4.8207417613442244E-2</v>
      </c>
      <c r="C337" s="13">
        <v>3.2617914082032656E-2</v>
      </c>
      <c r="D337" s="1375">
        <v>6.0199999999999997E-2</v>
      </c>
      <c r="E337" s="1375">
        <v>2.8000000000000001E-2</v>
      </c>
      <c r="F337" s="13">
        <v>6.0199999999999997E-2</v>
      </c>
      <c r="G337" s="13">
        <v>2.8000000000000001E-2</v>
      </c>
      <c r="H337" s="13">
        <v>4.7899999999999998E-2</v>
      </c>
      <c r="I337" s="1366">
        <v>3.4799999999999998E-2</v>
      </c>
      <c r="J337" s="13">
        <v>3.6999999999999998E-2</v>
      </c>
      <c r="K337" s="13">
        <v>3.7079642188684654E-2</v>
      </c>
      <c r="L337" s="13">
        <v>3.6069323213373812E-2</v>
      </c>
      <c r="M337" s="13">
        <v>2.800237213113629E-2</v>
      </c>
      <c r="N337" s="13">
        <f t="shared" si="43"/>
        <v>0</v>
      </c>
    </row>
    <row r="338" spans="1:14" x14ac:dyDescent="0.25">
      <c r="A338" s="1365">
        <v>0.2</v>
      </c>
      <c r="B338" s="13">
        <v>4.9057389662254675E-2</v>
      </c>
      <c r="C338" s="13">
        <v>3.2922766976607364E-2</v>
      </c>
      <c r="D338" s="1375">
        <v>6.0699999999999997E-2</v>
      </c>
      <c r="E338" s="1375">
        <v>2.8000000000000001E-2</v>
      </c>
      <c r="F338" s="13">
        <v>6.0699999999999997E-2</v>
      </c>
      <c r="G338" s="13">
        <v>2.8000000000000001E-2</v>
      </c>
      <c r="H338" s="13">
        <v>4.87E-2</v>
      </c>
      <c r="I338" s="1366">
        <v>3.5299999999999998E-2</v>
      </c>
      <c r="J338" s="13">
        <v>3.7999999999999999E-2</v>
      </c>
      <c r="K338" s="13">
        <v>3.7483150362418109E-2</v>
      </c>
      <c r="L338" s="13">
        <v>3.6666850769269045E-2</v>
      </c>
      <c r="M338" s="13">
        <v>2.8907372995198393E-2</v>
      </c>
      <c r="N338" s="13">
        <f t="shared" si="43"/>
        <v>0</v>
      </c>
    </row>
    <row r="339" spans="1:14" x14ac:dyDescent="0.25">
      <c r="A339" s="1365">
        <v>0.21</v>
      </c>
      <c r="B339" s="13">
        <v>4.9686212088958993E-2</v>
      </c>
      <c r="C339" s="13">
        <v>3.3159730219366405E-2</v>
      </c>
      <c r="D339" s="1375">
        <v>6.1100000000000002E-2</v>
      </c>
      <c r="E339" s="1375">
        <v>2.8000000000000001E-2</v>
      </c>
      <c r="F339" s="13">
        <v>6.1100000000000002E-2</v>
      </c>
      <c r="G339" s="13">
        <v>2.8000000000000001E-2</v>
      </c>
      <c r="H339" s="13">
        <v>4.9099999999999998E-2</v>
      </c>
      <c r="I339" s="1366">
        <v>3.56E-2</v>
      </c>
      <c r="J339" s="13">
        <v>3.7999999999999999E-2</v>
      </c>
      <c r="K339" s="13">
        <v>3.7978657859237278E-2</v>
      </c>
      <c r="L339" s="13">
        <v>3.7106043470988892E-2</v>
      </c>
      <c r="M339" s="13">
        <v>2.8966580642229827E-2</v>
      </c>
      <c r="N339" s="13">
        <f t="shared" si="43"/>
        <v>0</v>
      </c>
    </row>
    <row r="340" spans="1:14" x14ac:dyDescent="0.25">
      <c r="A340" s="1365">
        <v>0.22</v>
      </c>
      <c r="B340" s="13">
        <v>5.0347901290045072E-2</v>
      </c>
      <c r="C340" s="13">
        <v>3.3422410989305325E-2</v>
      </c>
      <c r="D340" s="1375">
        <v>6.1899999999999997E-2</v>
      </c>
      <c r="E340" s="1375">
        <v>2.9000000000000001E-2</v>
      </c>
      <c r="F340" s="13">
        <v>6.1899999999999997E-2</v>
      </c>
      <c r="G340" s="13">
        <v>2.9000000000000001E-2</v>
      </c>
      <c r="H340" s="13">
        <v>4.9500000000000002E-2</v>
      </c>
      <c r="I340" s="1366">
        <v>3.5999999999999997E-2</v>
      </c>
      <c r="J340" s="13">
        <v>3.9E-2</v>
      </c>
      <c r="K340" s="13">
        <v>3.8666908775230095E-2</v>
      </c>
      <c r="L340" s="13">
        <v>3.755995441111868E-2</v>
      </c>
      <c r="M340" s="13">
        <v>2.9476696173953872E-2</v>
      </c>
      <c r="N340" s="13">
        <f t="shared" si="43"/>
        <v>0</v>
      </c>
    </row>
    <row r="341" spans="1:14" x14ac:dyDescent="0.25">
      <c r="A341" s="1365">
        <v>0.23</v>
      </c>
      <c r="B341" s="13">
        <v>5.1113189498898218E-2</v>
      </c>
      <c r="C341" s="13">
        <v>3.3923069253708381E-2</v>
      </c>
      <c r="D341" s="1375">
        <v>6.2799999999999995E-2</v>
      </c>
      <c r="E341" s="1375">
        <v>2.9000000000000001E-2</v>
      </c>
      <c r="F341" s="13">
        <v>6.2799999999999995E-2</v>
      </c>
      <c r="G341" s="13">
        <v>2.9000000000000001E-2</v>
      </c>
      <c r="H341" s="13">
        <v>4.9799999999999997E-2</v>
      </c>
      <c r="I341" s="1366">
        <v>3.6900000000000002E-2</v>
      </c>
      <c r="J341" s="13">
        <v>3.9E-2</v>
      </c>
      <c r="K341" s="13">
        <v>3.9049198176728347E-2</v>
      </c>
      <c r="L341" s="13">
        <v>3.8016413038457542E-2</v>
      </c>
      <c r="M341" s="13">
        <v>3.1579992383025536E-2</v>
      </c>
      <c r="N341" s="13">
        <f t="shared" si="43"/>
        <v>0</v>
      </c>
    </row>
    <row r="342" spans="1:14" x14ac:dyDescent="0.25">
      <c r="A342" s="1365">
        <v>0.24</v>
      </c>
      <c r="B342" s="13">
        <v>5.1774274989533228E-2</v>
      </c>
      <c r="C342" s="13">
        <v>3.4093511912313162E-2</v>
      </c>
      <c r="D342" s="1375">
        <v>6.3E-2</v>
      </c>
      <c r="E342" s="1375">
        <v>0.03</v>
      </c>
      <c r="F342" s="13">
        <v>6.3E-2</v>
      </c>
      <c r="G342" s="13">
        <v>0.03</v>
      </c>
      <c r="H342" s="13">
        <v>5.0799999999999998E-2</v>
      </c>
      <c r="I342" s="1366">
        <v>3.7199999999999997E-2</v>
      </c>
      <c r="J342" s="13">
        <v>0.04</v>
      </c>
      <c r="K342" s="13">
        <v>3.9107691401299285E-2</v>
      </c>
      <c r="L342" s="13">
        <v>3.8457563433527436E-2</v>
      </c>
      <c r="M342" s="13">
        <v>3.1593529757394101E-2</v>
      </c>
      <c r="N342" s="13">
        <f t="shared" si="43"/>
        <v>0</v>
      </c>
    </row>
    <row r="343" spans="1:14" x14ac:dyDescent="0.25">
      <c r="A343" s="1365">
        <v>0.25</v>
      </c>
      <c r="B343" s="13">
        <v>5.2292564093619327E-2</v>
      </c>
      <c r="C343" s="13">
        <v>3.4397966331648253E-2</v>
      </c>
      <c r="D343" s="1375">
        <v>6.3500000000000001E-2</v>
      </c>
      <c r="E343" s="1375">
        <v>0.03</v>
      </c>
      <c r="F343" s="13">
        <v>6.3500000000000001E-2</v>
      </c>
      <c r="G343" s="13">
        <v>0.03</v>
      </c>
      <c r="H343" s="13">
        <v>5.0999999999999997E-2</v>
      </c>
      <c r="I343" s="1366">
        <v>3.7199999999999997E-2</v>
      </c>
      <c r="J343" s="13">
        <v>0.04</v>
      </c>
      <c r="K343" s="13">
        <v>3.9628760039039479E-2</v>
      </c>
      <c r="L343" s="13">
        <v>3.887682497146306E-2</v>
      </c>
      <c r="M343" s="13">
        <v>3.3572476703404387E-2</v>
      </c>
      <c r="N343" s="13">
        <f t="shared" si="43"/>
        <v>0</v>
      </c>
    </row>
    <row r="344" spans="1:14" x14ac:dyDescent="0.25">
      <c r="A344" s="1365">
        <v>0.26</v>
      </c>
      <c r="B344" s="13">
        <v>5.2598689770024999E-2</v>
      </c>
      <c r="C344" s="13">
        <v>3.4794599690973704E-2</v>
      </c>
      <c r="D344" s="1375">
        <v>6.3799999999999996E-2</v>
      </c>
      <c r="E344" s="1375">
        <v>3.3000000000000002E-2</v>
      </c>
      <c r="F344" s="13">
        <v>6.3799999999999996E-2</v>
      </c>
      <c r="G344" s="13">
        <v>3.3000000000000002E-2</v>
      </c>
      <c r="H344" s="13">
        <v>5.11E-2</v>
      </c>
      <c r="I344" s="1366">
        <v>3.7600000000000001E-2</v>
      </c>
      <c r="J344" s="13">
        <v>0.04</v>
      </c>
      <c r="K344" s="13">
        <v>3.9788428541651759E-2</v>
      </c>
      <c r="L344" s="13">
        <v>3.9194587711591546E-2</v>
      </c>
      <c r="M344" s="13">
        <v>3.3593014650897646E-2</v>
      </c>
      <c r="N344" s="13">
        <f t="shared" si="43"/>
        <v>0</v>
      </c>
    </row>
    <row r="345" spans="1:14" x14ac:dyDescent="0.25">
      <c r="A345" s="1365">
        <v>0.27</v>
      </c>
      <c r="B345" s="13">
        <v>5.2912662441862379E-2</v>
      </c>
      <c r="C345" s="13">
        <v>3.4941793649629009E-2</v>
      </c>
      <c r="D345" s="1375">
        <v>6.3799999999999996E-2</v>
      </c>
      <c r="E345" s="1375">
        <v>3.3000000000000002E-2</v>
      </c>
      <c r="F345" s="13">
        <v>6.3799999999999996E-2</v>
      </c>
      <c r="G345" s="13">
        <v>3.3000000000000002E-2</v>
      </c>
      <c r="H345" s="13">
        <v>5.1200000000000002E-2</v>
      </c>
      <c r="I345" s="1366">
        <v>3.8199999999999998E-2</v>
      </c>
      <c r="J345" s="13">
        <v>0.04</v>
      </c>
      <c r="K345" s="13">
        <v>3.9980255750964644E-2</v>
      </c>
      <c r="L345" s="13">
        <v>3.9564478483652604E-2</v>
      </c>
      <c r="M345" s="13">
        <v>3.5795143436248691E-2</v>
      </c>
      <c r="N345" s="13">
        <f t="shared" si="43"/>
        <v>0</v>
      </c>
    </row>
    <row r="346" spans="1:14" x14ac:dyDescent="0.25">
      <c r="A346" s="1365">
        <v>0.28000000000000003</v>
      </c>
      <c r="B346" s="13">
        <v>5.3228519281984216E-2</v>
      </c>
      <c r="C346" s="13">
        <v>3.5771846237205508E-2</v>
      </c>
      <c r="D346" s="1375">
        <v>6.4100000000000004E-2</v>
      </c>
      <c r="E346" s="1375">
        <v>3.3000000000000002E-2</v>
      </c>
      <c r="F346" s="13">
        <v>6.4100000000000004E-2</v>
      </c>
      <c r="G346" s="13">
        <v>3.3000000000000002E-2</v>
      </c>
      <c r="H346" s="13">
        <v>5.2299999999999999E-2</v>
      </c>
      <c r="I346" s="1366">
        <v>3.8399999999999997E-2</v>
      </c>
      <c r="J346" s="13">
        <v>4.1000000000000002E-2</v>
      </c>
      <c r="K346" s="13">
        <v>4.0484495616973183E-2</v>
      </c>
      <c r="L346" s="13">
        <v>4.0094885570126845E-2</v>
      </c>
      <c r="M346" s="13">
        <v>3.8238644855010093E-2</v>
      </c>
      <c r="N346" s="13">
        <f t="shared" si="43"/>
        <v>0</v>
      </c>
    </row>
    <row r="347" spans="1:14" x14ac:dyDescent="0.25">
      <c r="A347" s="1365">
        <v>0.28999999999999998</v>
      </c>
      <c r="B347" s="13">
        <v>5.3478846996483392E-2</v>
      </c>
      <c r="C347" s="13">
        <v>3.7278747406081107E-2</v>
      </c>
      <c r="D347" s="1375">
        <v>6.4600000000000005E-2</v>
      </c>
      <c r="E347" s="1375">
        <v>3.3000000000000002E-2</v>
      </c>
      <c r="F347" s="13">
        <v>6.4600000000000005E-2</v>
      </c>
      <c r="G347" s="13">
        <v>3.3000000000000002E-2</v>
      </c>
      <c r="H347" s="13">
        <v>5.2400000000000002E-2</v>
      </c>
      <c r="I347" s="1366">
        <v>3.8399999999999997E-2</v>
      </c>
      <c r="J347" s="13">
        <v>4.1000000000000002E-2</v>
      </c>
      <c r="K347" s="13">
        <v>4.0579373601313813E-2</v>
      </c>
      <c r="L347" s="13">
        <v>4.0476582309473229E-2</v>
      </c>
      <c r="M347" s="13">
        <v>4.0753662375161565E-2</v>
      </c>
      <c r="N347" s="13">
        <f t="shared" si="43"/>
        <v>0</v>
      </c>
    </row>
    <row r="348" spans="1:14" x14ac:dyDescent="0.25">
      <c r="A348" s="1365">
        <v>0.3</v>
      </c>
      <c r="B348" s="13">
        <v>5.3961291927271469E-2</v>
      </c>
      <c r="C348" s="13">
        <v>3.7631904695425565E-2</v>
      </c>
      <c r="D348" s="1375">
        <v>6.4799999999999996E-2</v>
      </c>
      <c r="E348" s="1375">
        <v>3.4000000000000002E-2</v>
      </c>
      <c r="F348" s="13">
        <v>6.4799999999999996E-2</v>
      </c>
      <c r="G348" s="13">
        <v>3.4000000000000002E-2</v>
      </c>
      <c r="H348" s="13">
        <v>5.2499999999999998E-2</v>
      </c>
      <c r="I348" s="1366">
        <v>3.8600000000000002E-2</v>
      </c>
      <c r="J348" s="13">
        <v>4.1000000000000002E-2</v>
      </c>
      <c r="K348" s="13">
        <v>4.0911046009596198E-2</v>
      </c>
      <c r="L348" s="13">
        <v>4.0753662375161565E-2</v>
      </c>
      <c r="M348" s="13">
        <v>4.1290784964519607E-2</v>
      </c>
      <c r="N348" s="13">
        <f t="shared" si="43"/>
        <v>0</v>
      </c>
    </row>
    <row r="349" spans="1:14" x14ac:dyDescent="0.25">
      <c r="A349" s="1365">
        <v>0.31</v>
      </c>
      <c r="B349" s="13">
        <v>5.4439127142429926E-2</v>
      </c>
      <c r="C349" s="13">
        <v>3.8136982536051911E-2</v>
      </c>
      <c r="D349" s="1375">
        <v>6.4899999999999999E-2</v>
      </c>
      <c r="E349" s="1375">
        <v>3.4000000000000002E-2</v>
      </c>
      <c r="F349" s="13">
        <v>6.4899999999999999E-2</v>
      </c>
      <c r="G349" s="13">
        <v>3.4000000000000002E-2</v>
      </c>
      <c r="H349" s="13">
        <v>5.2600000000000001E-2</v>
      </c>
      <c r="I349" s="1366">
        <v>3.8800000000000001E-2</v>
      </c>
      <c r="J349" s="13">
        <v>4.1000000000000002E-2</v>
      </c>
      <c r="K349" s="13">
        <v>4.1093455863445705E-2</v>
      </c>
      <c r="L349" s="13">
        <v>4.1127522812238276E-2</v>
      </c>
      <c r="M349" s="13">
        <v>4.1774207939250775E-2</v>
      </c>
      <c r="N349" s="13">
        <f t="shared" si="43"/>
        <v>0</v>
      </c>
    </row>
    <row r="350" spans="1:14" x14ac:dyDescent="0.25">
      <c r="A350" s="1365">
        <v>0.32</v>
      </c>
      <c r="B350" s="13">
        <v>5.4849449028207244E-2</v>
      </c>
      <c r="C350" s="13">
        <v>3.8435016350281126E-2</v>
      </c>
      <c r="D350" s="1375">
        <v>6.5299999999999997E-2</v>
      </c>
      <c r="E350" s="1375">
        <v>3.5999999999999997E-2</v>
      </c>
      <c r="F350" s="13">
        <v>6.5299999999999997E-2</v>
      </c>
      <c r="G350" s="13">
        <v>3.5999999999999997E-2</v>
      </c>
      <c r="H350" s="13">
        <v>5.3199999999999997E-2</v>
      </c>
      <c r="I350" s="1366">
        <v>3.9199999999999999E-2</v>
      </c>
      <c r="J350" s="13">
        <v>4.2000000000000003E-2</v>
      </c>
      <c r="K350" s="13">
        <v>4.1804775621237113E-2</v>
      </c>
      <c r="L350" s="13">
        <v>4.1607471781933796E-2</v>
      </c>
      <c r="M350" s="13">
        <v>4.2656848100384046E-2</v>
      </c>
      <c r="N350" s="13">
        <f t="shared" si="43"/>
        <v>0</v>
      </c>
    </row>
    <row r="351" spans="1:14" x14ac:dyDescent="0.25">
      <c r="A351" s="1365">
        <v>0.33</v>
      </c>
      <c r="B351" s="13">
        <v>5.5287441329522902E-2</v>
      </c>
      <c r="C351" s="13">
        <v>3.9178654212413525E-2</v>
      </c>
      <c r="D351" s="1375">
        <v>6.5500000000000003E-2</v>
      </c>
      <c r="E351" s="1375">
        <v>3.5999999999999997E-2</v>
      </c>
      <c r="F351" s="13">
        <v>6.5500000000000003E-2</v>
      </c>
      <c r="G351" s="13">
        <v>3.5999999999999997E-2</v>
      </c>
      <c r="H351" s="13">
        <v>5.3699999999999998E-2</v>
      </c>
      <c r="I351" s="1366">
        <v>3.9800000000000002E-2</v>
      </c>
      <c r="J351" s="13">
        <v>4.2000000000000003E-2</v>
      </c>
      <c r="K351" s="13">
        <v>4.216285653138048E-2</v>
      </c>
      <c r="L351" s="13">
        <v>4.1851591825251014E-2</v>
      </c>
      <c r="M351" s="13">
        <v>4.2770512184671969E-2</v>
      </c>
      <c r="N351" s="13">
        <f t="shared" si="43"/>
        <v>0</v>
      </c>
    </row>
    <row r="352" spans="1:14" x14ac:dyDescent="0.25">
      <c r="A352" s="1365">
        <v>0.34</v>
      </c>
      <c r="B352" s="13">
        <v>5.5534668714628282E-2</v>
      </c>
      <c r="C352" s="13">
        <v>3.9579277284946729E-2</v>
      </c>
      <c r="D352" s="1375">
        <v>6.5699999999999995E-2</v>
      </c>
      <c r="E352" s="1375">
        <v>3.6999999999999998E-2</v>
      </c>
      <c r="F352" s="13">
        <v>6.5699999999999995E-2</v>
      </c>
      <c r="G352" s="13">
        <v>3.6999999999999998E-2</v>
      </c>
      <c r="H352" s="13">
        <v>5.3800000000000001E-2</v>
      </c>
      <c r="I352" s="1366">
        <v>4.0300000000000002E-2</v>
      </c>
      <c r="J352" s="13">
        <v>4.2999999999999997E-2</v>
      </c>
      <c r="K352" s="13">
        <v>4.2258803742832904E-2</v>
      </c>
      <c r="L352" s="13">
        <v>4.2436908224832426E-2</v>
      </c>
      <c r="M352" s="13">
        <v>4.4554897571313888E-2</v>
      </c>
      <c r="N352" s="13">
        <f t="shared" si="43"/>
        <v>0</v>
      </c>
    </row>
    <row r="353" spans="1:14" x14ac:dyDescent="0.25">
      <c r="A353" s="1365">
        <v>0.35</v>
      </c>
      <c r="B353" s="13">
        <v>5.561264473604266E-2</v>
      </c>
      <c r="C353" s="13">
        <v>3.9765526657987542E-2</v>
      </c>
      <c r="D353" s="1375">
        <v>6.6000000000000003E-2</v>
      </c>
      <c r="E353" s="1375">
        <v>3.6999999999999998E-2</v>
      </c>
      <c r="F353" s="13">
        <v>6.6000000000000003E-2</v>
      </c>
      <c r="G353" s="13">
        <v>3.6999999999999998E-2</v>
      </c>
      <c r="H353" s="13">
        <v>5.3999999999999999E-2</v>
      </c>
      <c r="I353" s="1366">
        <v>4.0399999999999998E-2</v>
      </c>
      <c r="J353" s="13">
        <v>4.2999999999999997E-2</v>
      </c>
      <c r="K353" s="13">
        <v>4.245010641192392E-2</v>
      </c>
      <c r="L353" s="13">
        <v>4.2670963346650777E-2</v>
      </c>
      <c r="M353" s="13">
        <v>4.5634153631916904E-2</v>
      </c>
      <c r="N353" s="13">
        <f t="shared" si="43"/>
        <v>0</v>
      </c>
    </row>
    <row r="354" spans="1:14" x14ac:dyDescent="0.25">
      <c r="A354" s="1365">
        <v>0.36</v>
      </c>
      <c r="B354" s="13">
        <v>5.5754940328876228E-2</v>
      </c>
      <c r="C354" s="13">
        <v>4.0172014343707978E-2</v>
      </c>
      <c r="D354" s="1375">
        <v>6.6299999999999998E-2</v>
      </c>
      <c r="E354" s="1375">
        <v>3.7999999999999999E-2</v>
      </c>
      <c r="F354" s="13">
        <v>6.6299999999999998E-2</v>
      </c>
      <c r="G354" s="13">
        <v>3.7999999999999999E-2</v>
      </c>
      <c r="H354" s="13">
        <v>5.4100000000000002E-2</v>
      </c>
      <c r="I354" s="1366">
        <v>4.0500000000000001E-2</v>
      </c>
      <c r="J354" s="13">
        <v>4.2999999999999997E-2</v>
      </c>
      <c r="K354" s="13">
        <v>4.273267352646639E-2</v>
      </c>
      <c r="L354" s="13">
        <v>4.3076476087492641E-2</v>
      </c>
      <c r="M354" s="13">
        <v>4.5678971580426074E-2</v>
      </c>
      <c r="N354" s="13">
        <f t="shared" si="43"/>
        <v>0</v>
      </c>
    </row>
    <row r="355" spans="1:14" x14ac:dyDescent="0.25">
      <c r="A355" s="1365">
        <v>0.37</v>
      </c>
      <c r="B355" s="13">
        <v>5.5997734644881121E-2</v>
      </c>
      <c r="C355" s="13">
        <v>4.0212858809124924E-2</v>
      </c>
      <c r="D355" s="1375">
        <v>6.6400000000000001E-2</v>
      </c>
      <c r="E355" s="1375">
        <v>3.7999999999999999E-2</v>
      </c>
      <c r="F355" s="13">
        <v>6.6400000000000001E-2</v>
      </c>
      <c r="G355" s="13">
        <v>3.7999999999999999E-2</v>
      </c>
      <c r="H355" s="13">
        <v>5.4899999999999997E-2</v>
      </c>
      <c r="I355" s="1366">
        <v>4.0800000000000003E-2</v>
      </c>
      <c r="J355" s="13">
        <v>4.2999999999999997E-2</v>
      </c>
      <c r="K355" s="13">
        <v>4.3056487929111473E-2</v>
      </c>
      <c r="L355" s="13">
        <v>4.327874524995106E-2</v>
      </c>
      <c r="M355" s="13">
        <v>4.6123186148185537E-2</v>
      </c>
      <c r="N355" s="13">
        <f t="shared" si="43"/>
        <v>0</v>
      </c>
    </row>
    <row r="356" spans="1:14" x14ac:dyDescent="0.25">
      <c r="A356" s="1365">
        <v>0.38</v>
      </c>
      <c r="B356" s="13">
        <v>5.6197444051001577E-2</v>
      </c>
      <c r="C356" s="13">
        <v>4.0363803656989668E-2</v>
      </c>
      <c r="D356" s="1375">
        <v>6.6699999999999995E-2</v>
      </c>
      <c r="E356" s="1375">
        <v>3.9E-2</v>
      </c>
      <c r="F356" s="13">
        <v>6.6699999999999995E-2</v>
      </c>
      <c r="G356" s="13">
        <v>3.9E-2</v>
      </c>
      <c r="H356" s="13">
        <v>5.5800000000000002E-2</v>
      </c>
      <c r="I356" s="1366">
        <v>4.0899999999999999E-2</v>
      </c>
      <c r="J356" s="13">
        <v>4.3999999999999997E-2</v>
      </c>
      <c r="K356" s="13">
        <v>4.3549928939586167E-2</v>
      </c>
      <c r="L356" s="13">
        <v>4.3532821795503142E-2</v>
      </c>
      <c r="M356" s="13">
        <v>4.6207746703393553E-2</v>
      </c>
      <c r="N356" s="13">
        <f t="shared" si="43"/>
        <v>0</v>
      </c>
    </row>
    <row r="357" spans="1:14" x14ac:dyDescent="0.25">
      <c r="A357" s="1365">
        <v>0.39</v>
      </c>
      <c r="B357" s="13">
        <v>5.6308726898548003E-2</v>
      </c>
      <c r="C357" s="13">
        <v>4.0760809534507017E-2</v>
      </c>
      <c r="D357" s="1375">
        <v>6.7100000000000007E-2</v>
      </c>
      <c r="E357" s="1375">
        <v>3.9E-2</v>
      </c>
      <c r="F357" s="13">
        <v>6.7100000000000007E-2</v>
      </c>
      <c r="G357" s="13">
        <v>3.9E-2</v>
      </c>
      <c r="H357" s="13">
        <v>5.67E-2</v>
      </c>
      <c r="I357" s="1366">
        <v>4.1099999999999998E-2</v>
      </c>
      <c r="J357" s="13">
        <v>4.3999999999999997E-2</v>
      </c>
      <c r="K357" s="13">
        <v>4.3700325322565389E-2</v>
      </c>
      <c r="L357" s="13">
        <v>4.4055641520667745E-2</v>
      </c>
      <c r="M357" s="13">
        <v>5.0555060206744905E-2</v>
      </c>
      <c r="N357" s="13">
        <f t="shared" si="43"/>
        <v>0</v>
      </c>
    </row>
    <row r="358" spans="1:14" x14ac:dyDescent="0.25">
      <c r="A358" s="1365">
        <v>0.4</v>
      </c>
      <c r="B358" s="13">
        <v>5.6642315892142289E-2</v>
      </c>
      <c r="C358" s="13">
        <v>4.102512390016546E-2</v>
      </c>
      <c r="D358" s="1375">
        <v>6.7699999999999996E-2</v>
      </c>
      <c r="E358" s="1375">
        <v>0.04</v>
      </c>
      <c r="F358" s="13">
        <v>6.7699999999999996E-2</v>
      </c>
      <c r="G358" s="13">
        <v>0.04</v>
      </c>
      <c r="H358" s="13">
        <v>5.6899999999999999E-2</v>
      </c>
      <c r="I358" s="1366">
        <v>4.2000000000000003E-2</v>
      </c>
      <c r="J358" s="13">
        <v>4.4999999999999998E-2</v>
      </c>
      <c r="K358" s="13">
        <v>4.4339630492690713E-2</v>
      </c>
      <c r="L358" s="13">
        <v>4.4335774116182121E-2</v>
      </c>
      <c r="M358" s="13">
        <v>5.0995807852568312E-2</v>
      </c>
      <c r="N358" s="13">
        <f t="shared" si="43"/>
        <v>0</v>
      </c>
    </row>
    <row r="359" spans="1:14" x14ac:dyDescent="0.25">
      <c r="A359" s="1365">
        <v>0.41</v>
      </c>
      <c r="B359" s="13">
        <v>5.7127078126693404E-2</v>
      </c>
      <c r="C359" s="13">
        <v>4.1156234290507611E-2</v>
      </c>
      <c r="D359" s="1375">
        <v>6.8000000000000005E-2</v>
      </c>
      <c r="E359" s="1375">
        <v>0.04</v>
      </c>
      <c r="F359" s="13">
        <v>6.8000000000000005E-2</v>
      </c>
      <c r="G359" s="13">
        <v>0.04</v>
      </c>
      <c r="H359" s="13">
        <v>5.7099999999999998E-2</v>
      </c>
      <c r="I359" s="1366">
        <v>4.2099999999999999E-2</v>
      </c>
      <c r="J359" s="13">
        <v>4.4999999999999998E-2</v>
      </c>
      <c r="K359" s="13">
        <v>4.4437806569712787E-2</v>
      </c>
      <c r="L359" s="13">
        <v>4.4601467341110659E-2</v>
      </c>
      <c r="M359" s="13">
        <v>5.1942761844122609E-2</v>
      </c>
      <c r="N359" s="13">
        <f t="shared" si="43"/>
        <v>0</v>
      </c>
    </row>
    <row r="360" spans="1:14" x14ac:dyDescent="0.25">
      <c r="A360" s="1365">
        <v>0.42</v>
      </c>
      <c r="B360" s="13">
        <v>5.7391119680696039E-2</v>
      </c>
      <c r="C360" s="13">
        <v>4.115889700791845E-2</v>
      </c>
      <c r="D360" s="1375">
        <v>6.8400000000000002E-2</v>
      </c>
      <c r="E360" s="1375">
        <v>0.04</v>
      </c>
      <c r="F360" s="13">
        <v>6.8400000000000002E-2</v>
      </c>
      <c r="G360" s="13">
        <v>0.04</v>
      </c>
      <c r="H360" s="13">
        <v>5.7299999999999997E-2</v>
      </c>
      <c r="I360" s="1366">
        <v>4.2200000000000001E-2</v>
      </c>
      <c r="J360" s="13">
        <v>4.4999999999999998E-2</v>
      </c>
      <c r="K360" s="13">
        <v>4.4850196500406149E-2</v>
      </c>
      <c r="L360" s="13">
        <v>4.4941791588474049E-2</v>
      </c>
      <c r="M360" s="13">
        <v>5.4801262898611071E-2</v>
      </c>
      <c r="N360" s="13">
        <f t="shared" si="43"/>
        <v>0</v>
      </c>
    </row>
    <row r="361" spans="1:14" x14ac:dyDescent="0.25">
      <c r="A361" s="1365">
        <v>0.43</v>
      </c>
      <c r="B361" s="13">
        <v>5.7567274185278329E-2</v>
      </c>
      <c r="C361" s="13">
        <v>4.1165806979662371E-2</v>
      </c>
      <c r="D361" s="1375">
        <v>6.8699999999999997E-2</v>
      </c>
      <c r="E361" s="1375">
        <v>0.04</v>
      </c>
      <c r="F361" s="13">
        <v>6.8699999999999997E-2</v>
      </c>
      <c r="G361" s="13">
        <v>0.04</v>
      </c>
      <c r="H361" s="13">
        <v>5.7599999999999998E-2</v>
      </c>
      <c r="I361" s="1366">
        <v>4.2200000000000001E-2</v>
      </c>
      <c r="J361" s="13">
        <v>4.4999999999999998E-2</v>
      </c>
      <c r="K361" s="13">
        <v>4.5318758325262096E-2</v>
      </c>
      <c r="L361" s="13">
        <v>4.5076892082045183E-2</v>
      </c>
      <c r="M361" s="13">
        <v>5.4952712079263319E-2</v>
      </c>
      <c r="N361" s="13">
        <f t="shared" si="43"/>
        <v>0</v>
      </c>
    </row>
    <row r="362" spans="1:14" x14ac:dyDescent="0.25">
      <c r="A362" s="1365">
        <v>0.44</v>
      </c>
      <c r="B362" s="13">
        <v>5.7571052519687013E-2</v>
      </c>
      <c r="C362" s="13">
        <v>4.2109516990048459E-2</v>
      </c>
      <c r="D362" s="1375">
        <v>6.88E-2</v>
      </c>
      <c r="E362" s="1375">
        <v>4.1000000000000002E-2</v>
      </c>
      <c r="F362" s="13">
        <v>6.88E-2</v>
      </c>
      <c r="G362" s="13">
        <v>4.1000000000000002E-2</v>
      </c>
      <c r="H362" s="13">
        <v>5.8299999999999998E-2</v>
      </c>
      <c r="I362" s="1366">
        <v>4.24E-2</v>
      </c>
      <c r="J362" s="13">
        <v>4.5999999999999999E-2</v>
      </c>
      <c r="K362" s="13">
        <v>4.6103028903866618E-2</v>
      </c>
      <c r="L362" s="13">
        <v>4.5400319789394794E-2</v>
      </c>
      <c r="M362" s="13">
        <v>5.5362740191373071E-2</v>
      </c>
      <c r="N362" s="13">
        <f t="shared" si="43"/>
        <v>0</v>
      </c>
    </row>
    <row r="363" spans="1:14" x14ac:dyDescent="0.25">
      <c r="A363" s="1365">
        <v>0.45</v>
      </c>
      <c r="B363" s="13">
        <v>5.7574113088448689E-2</v>
      </c>
      <c r="C363" s="13">
        <v>4.2379840939049576E-2</v>
      </c>
      <c r="D363" s="1375">
        <v>6.9000000000000006E-2</v>
      </c>
      <c r="E363" s="1375">
        <v>4.1000000000000002E-2</v>
      </c>
      <c r="F363" s="13">
        <v>6.9000000000000006E-2</v>
      </c>
      <c r="G363" s="13">
        <v>4.1000000000000002E-2</v>
      </c>
      <c r="H363" s="13">
        <v>5.8500000000000003E-2</v>
      </c>
      <c r="I363" s="1366">
        <v>4.2599999999999999E-2</v>
      </c>
      <c r="J363" s="13">
        <v>4.5999999999999999E-2</v>
      </c>
      <c r="K363" s="13">
        <v>4.6425783207989103E-2</v>
      </c>
      <c r="L363" s="13">
        <v>4.552464342935203E-2</v>
      </c>
      <c r="M363" s="13">
        <v>5.6032662001165315E-2</v>
      </c>
      <c r="N363" s="13">
        <f t="shared" si="43"/>
        <v>0</v>
      </c>
    </row>
    <row r="364" spans="1:14" x14ac:dyDescent="0.25">
      <c r="A364" s="1365">
        <v>0.46</v>
      </c>
      <c r="B364" s="13">
        <v>5.775367982221901E-2</v>
      </c>
      <c r="C364" s="13">
        <v>4.3208382905026828E-2</v>
      </c>
      <c r="D364" s="1375">
        <v>6.9199999999999998E-2</v>
      </c>
      <c r="E364" s="1375">
        <v>4.1000000000000002E-2</v>
      </c>
      <c r="F364" s="13">
        <v>6.9199999999999998E-2</v>
      </c>
      <c r="G364" s="13">
        <v>4.1000000000000002E-2</v>
      </c>
      <c r="H364" s="13">
        <v>5.8700000000000002E-2</v>
      </c>
      <c r="I364" s="1366">
        <v>4.2700000000000002E-2</v>
      </c>
      <c r="J364" s="13">
        <v>4.5999999999999999E-2</v>
      </c>
      <c r="K364" s="13">
        <v>4.6819325477103962E-2</v>
      </c>
      <c r="L364" s="13">
        <v>4.5680036515335087E-2</v>
      </c>
      <c r="M364" s="13">
        <v>5.6323619326136248E-2</v>
      </c>
      <c r="N364" s="13">
        <f t="shared" si="43"/>
        <v>0</v>
      </c>
    </row>
    <row r="365" spans="1:14" x14ac:dyDescent="0.25">
      <c r="A365" s="1365">
        <v>0.47</v>
      </c>
      <c r="B365" s="13">
        <v>5.7932809081582048E-2</v>
      </c>
      <c r="C365" s="13">
        <v>4.3214194755505801E-2</v>
      </c>
      <c r="D365" s="1375">
        <v>6.93E-2</v>
      </c>
      <c r="E365" s="1375">
        <v>4.1000000000000002E-2</v>
      </c>
      <c r="F365" s="13">
        <v>6.93E-2</v>
      </c>
      <c r="G365" s="13">
        <v>4.1000000000000002E-2</v>
      </c>
      <c r="H365" s="13">
        <v>5.9200000000000003E-2</v>
      </c>
      <c r="I365" s="1366">
        <v>4.3700000000000003E-2</v>
      </c>
      <c r="J365" s="13">
        <v>4.5999999999999999E-2</v>
      </c>
      <c r="K365" s="13">
        <v>4.720140568206193E-2</v>
      </c>
      <c r="L365" s="13">
        <v>4.5945411854587857E-2</v>
      </c>
      <c r="M365" s="13">
        <v>5.6554541189981752E-2</v>
      </c>
      <c r="N365" s="13">
        <f t="shared" si="43"/>
        <v>0</v>
      </c>
    </row>
    <row r="366" spans="1:14" x14ac:dyDescent="0.25">
      <c r="A366" s="1365">
        <v>0.48</v>
      </c>
      <c r="B366" s="13">
        <v>5.8339217872693874E-2</v>
      </c>
      <c r="C366" s="13">
        <v>4.3608220790383977E-2</v>
      </c>
      <c r="D366" s="1375">
        <v>6.9800000000000001E-2</v>
      </c>
      <c r="E366" s="1375">
        <v>4.2999999999999997E-2</v>
      </c>
      <c r="F366" s="13">
        <v>6.9800000000000001E-2</v>
      </c>
      <c r="G366" s="13">
        <v>4.2999999999999997E-2</v>
      </c>
      <c r="H366" s="13">
        <v>5.96E-2</v>
      </c>
      <c r="I366" s="1366">
        <v>4.41E-2</v>
      </c>
      <c r="J366" s="13">
        <v>4.7E-2</v>
      </c>
      <c r="K366" s="13">
        <v>4.8325778394428073E-2</v>
      </c>
      <c r="L366" s="13">
        <v>4.6103918067686829E-2</v>
      </c>
      <c r="M366" s="13">
        <v>5.7878439908588014E-2</v>
      </c>
      <c r="N366" s="13">
        <f t="shared" si="43"/>
        <v>0</v>
      </c>
    </row>
    <row r="367" spans="1:14" x14ac:dyDescent="0.25">
      <c r="A367" s="1365">
        <v>0.49</v>
      </c>
      <c r="B367" s="13">
        <v>5.8661194698531163E-2</v>
      </c>
      <c r="C367" s="13">
        <v>4.4130006405636961E-2</v>
      </c>
      <c r="D367" s="1375">
        <v>6.9900000000000004E-2</v>
      </c>
      <c r="E367" s="1375">
        <v>4.2999999999999997E-2</v>
      </c>
      <c r="F367" s="13">
        <v>6.9900000000000004E-2</v>
      </c>
      <c r="G367" s="13">
        <v>4.2999999999999997E-2</v>
      </c>
      <c r="H367" s="13">
        <v>6.0299999999999999E-2</v>
      </c>
      <c r="I367" s="1366">
        <v>4.41E-2</v>
      </c>
      <c r="J367" s="13">
        <v>4.7E-2</v>
      </c>
      <c r="K367" s="13">
        <v>4.8971365668857118E-2</v>
      </c>
      <c r="L367" s="13">
        <v>4.6300394365783884E-2</v>
      </c>
      <c r="M367" s="13">
        <v>5.8004271381822202E-2</v>
      </c>
      <c r="N367" s="13">
        <f t="shared" si="43"/>
        <v>0</v>
      </c>
    </row>
    <row r="368" spans="1:14" x14ac:dyDescent="0.25">
      <c r="A368" s="1365">
        <v>0.5</v>
      </c>
      <c r="B368" s="13">
        <v>5.8960142652305807E-2</v>
      </c>
      <c r="C368" s="13">
        <v>4.4395062382433181E-2</v>
      </c>
      <c r="D368" s="1375">
        <v>7.0300000000000001E-2</v>
      </c>
      <c r="E368" s="1375">
        <v>4.3999999999999997E-2</v>
      </c>
      <c r="F368" s="13">
        <v>7.0300000000000001E-2</v>
      </c>
      <c r="G368" s="13">
        <v>4.3999999999999997E-2</v>
      </c>
      <c r="H368" s="13">
        <v>6.08E-2</v>
      </c>
      <c r="I368" s="1366">
        <v>4.4400000000000002E-2</v>
      </c>
      <c r="J368" s="13">
        <v>4.8000000000000001E-2</v>
      </c>
      <c r="K368" s="13">
        <v>4.9159785865213551E-2</v>
      </c>
      <c r="L368" s="13">
        <v>4.661593978471619E-2</v>
      </c>
      <c r="M368" s="13">
        <v>5.8671090076835457E-2</v>
      </c>
      <c r="N368" s="13">
        <f t="shared" si="43"/>
        <v>0</v>
      </c>
    </row>
    <row r="369" spans="1:14" x14ac:dyDescent="0.25">
      <c r="A369" s="1365">
        <v>0.51</v>
      </c>
      <c r="B369" s="13">
        <v>5.9520430823536266E-2</v>
      </c>
      <c r="C369" s="13">
        <v>4.4577121685262698E-2</v>
      </c>
      <c r="D369" s="1375">
        <v>7.0999999999999994E-2</v>
      </c>
      <c r="E369" s="1375">
        <v>4.3999999999999997E-2</v>
      </c>
      <c r="F369" s="13">
        <v>7.0999999999999994E-2</v>
      </c>
      <c r="G369" s="13">
        <v>4.3999999999999997E-2</v>
      </c>
      <c r="H369" s="13">
        <v>6.0900000000000003E-2</v>
      </c>
      <c r="I369" s="1366">
        <v>4.4699999999999997E-2</v>
      </c>
      <c r="J369" s="13">
        <v>4.8000000000000001E-2</v>
      </c>
      <c r="K369" s="13">
        <v>4.9647937327404482E-2</v>
      </c>
      <c r="L369" s="13">
        <v>4.6875999708278472E-2</v>
      </c>
      <c r="M369" s="13">
        <v>5.8957147505657601E-2</v>
      </c>
      <c r="N369" s="13">
        <f t="shared" si="43"/>
        <v>0</v>
      </c>
    </row>
    <row r="370" spans="1:14" x14ac:dyDescent="0.25">
      <c r="A370" s="1365">
        <v>0.52</v>
      </c>
      <c r="B370" s="13">
        <v>6.0218858919723318E-2</v>
      </c>
      <c r="C370" s="13">
        <v>4.4647293012378519E-2</v>
      </c>
      <c r="D370" s="1375">
        <v>7.1599999999999997E-2</v>
      </c>
      <c r="E370" s="1375">
        <v>4.3999999999999997E-2</v>
      </c>
      <c r="F370" s="13">
        <v>7.1599999999999997E-2</v>
      </c>
      <c r="G370" s="13">
        <v>4.3999999999999997E-2</v>
      </c>
      <c r="H370" s="13">
        <v>6.0999999999999999E-2</v>
      </c>
      <c r="I370" s="1366">
        <v>4.4900000000000002E-2</v>
      </c>
      <c r="J370" s="13">
        <v>4.8000000000000001E-2</v>
      </c>
      <c r="K370" s="13">
        <v>4.9923497351742271E-2</v>
      </c>
      <c r="L370" s="13">
        <v>4.7089476207817262E-2</v>
      </c>
      <c r="M370" s="13">
        <v>5.9745937139401108E-2</v>
      </c>
      <c r="N370" s="13">
        <f t="shared" si="43"/>
        <v>0</v>
      </c>
    </row>
    <row r="371" spans="1:14" x14ac:dyDescent="0.25">
      <c r="A371" s="1365">
        <v>0.53</v>
      </c>
      <c r="B371" s="13">
        <v>6.0666853588835681E-2</v>
      </c>
      <c r="C371" s="13">
        <v>4.4655299665020749E-2</v>
      </c>
      <c r="D371" s="1375">
        <v>7.17E-2</v>
      </c>
      <c r="E371" s="1375">
        <v>4.3999999999999997E-2</v>
      </c>
      <c r="F371" s="13">
        <v>7.17E-2</v>
      </c>
      <c r="G371" s="13">
        <v>4.3999999999999997E-2</v>
      </c>
      <c r="H371" s="13">
        <v>6.1199999999999997E-2</v>
      </c>
      <c r="I371" s="1366">
        <v>4.5900000000000003E-2</v>
      </c>
      <c r="J371" s="13">
        <v>4.8000000000000001E-2</v>
      </c>
      <c r="K371" s="13">
        <v>5.0608974665993005E-2</v>
      </c>
      <c r="L371" s="13">
        <v>4.7258780664003006E-2</v>
      </c>
      <c r="M371" s="13">
        <v>6.0431660492920009E-2</v>
      </c>
      <c r="N371" s="13">
        <f t="shared" si="43"/>
        <v>0</v>
      </c>
    </row>
    <row r="372" spans="1:14" x14ac:dyDescent="0.25">
      <c r="A372" s="1365">
        <v>0.54</v>
      </c>
      <c r="B372" s="13">
        <v>6.1191620832270782E-2</v>
      </c>
      <c r="C372" s="13">
        <v>4.4695146110560441E-2</v>
      </c>
      <c r="D372" s="1375">
        <v>7.17E-2</v>
      </c>
      <c r="E372" s="1375">
        <v>4.5999999999999999E-2</v>
      </c>
      <c r="F372" s="13">
        <v>7.17E-2</v>
      </c>
      <c r="G372" s="13">
        <v>4.5999999999999999E-2</v>
      </c>
      <c r="H372" s="13">
        <v>6.1400000000000003E-2</v>
      </c>
      <c r="I372" s="1366">
        <v>4.7199999999999999E-2</v>
      </c>
      <c r="J372" s="13">
        <v>4.9000000000000002E-2</v>
      </c>
      <c r="K372" s="13">
        <v>5.120708096025791E-2</v>
      </c>
      <c r="L372" s="13">
        <v>4.7543652950089277E-2</v>
      </c>
      <c r="M372" s="13">
        <v>6.1741082624414044E-2</v>
      </c>
      <c r="N372" s="13">
        <f t="shared" si="43"/>
        <v>0</v>
      </c>
    </row>
    <row r="373" spans="1:14" x14ac:dyDescent="0.25">
      <c r="A373" s="1365">
        <v>0.55000000000000004</v>
      </c>
      <c r="B373" s="13">
        <v>6.139158981977081E-2</v>
      </c>
      <c r="C373" s="13">
        <v>4.4772338776247145E-2</v>
      </c>
      <c r="D373" s="1375">
        <v>7.1800000000000003E-2</v>
      </c>
      <c r="E373" s="1375">
        <v>4.5999999999999999E-2</v>
      </c>
      <c r="F373" s="13">
        <v>7.1800000000000003E-2</v>
      </c>
      <c r="G373" s="13">
        <v>4.5999999999999999E-2</v>
      </c>
      <c r="H373" s="13">
        <v>6.1499999999999999E-2</v>
      </c>
      <c r="I373" s="1366">
        <v>4.7500000000000001E-2</v>
      </c>
      <c r="J373" s="13">
        <v>4.9000000000000002E-2</v>
      </c>
      <c r="K373" s="13">
        <v>5.1440264568808375E-2</v>
      </c>
      <c r="L373" s="13">
        <v>4.7930185142225606E-2</v>
      </c>
      <c r="M373" s="13">
        <v>6.2631785911313992E-2</v>
      </c>
      <c r="N373" s="13">
        <f t="shared" si="43"/>
        <v>0</v>
      </c>
    </row>
    <row r="374" spans="1:14" x14ac:dyDescent="0.25">
      <c r="A374" s="1365">
        <v>0.56000000000000005</v>
      </c>
      <c r="B374" s="13">
        <v>6.1407912731072684E-2</v>
      </c>
      <c r="C374" s="13">
        <v>4.485605648592516E-2</v>
      </c>
      <c r="D374" s="1375">
        <v>7.1900000000000006E-2</v>
      </c>
      <c r="E374" s="1375">
        <v>4.7E-2</v>
      </c>
      <c r="F374" s="13">
        <v>7.1900000000000006E-2</v>
      </c>
      <c r="G374" s="13">
        <v>4.7E-2</v>
      </c>
      <c r="H374" s="13">
        <v>6.3E-2</v>
      </c>
      <c r="I374" s="1366">
        <v>4.7899999999999998E-2</v>
      </c>
      <c r="J374" s="13">
        <v>4.9000000000000002E-2</v>
      </c>
      <c r="K374" s="13">
        <v>5.1640091495170189E-2</v>
      </c>
      <c r="L374" s="13">
        <v>4.8211349348980227E-2</v>
      </c>
      <c r="M374" s="13">
        <v>6.2745760822370031E-2</v>
      </c>
      <c r="N374" s="13">
        <f t="shared" si="43"/>
        <v>0</v>
      </c>
    </row>
    <row r="375" spans="1:14" x14ac:dyDescent="0.25">
      <c r="A375" s="1365">
        <v>0.56999999999999995</v>
      </c>
      <c r="B375" s="13">
        <v>6.1543464421818739E-2</v>
      </c>
      <c r="C375" s="13">
        <v>4.4915693023690681E-2</v>
      </c>
      <c r="D375" s="1375">
        <v>7.2099999999999997E-2</v>
      </c>
      <c r="E375" s="1375">
        <v>4.7E-2</v>
      </c>
      <c r="F375" s="13">
        <v>7.2099999999999997E-2</v>
      </c>
      <c r="G375" s="13">
        <v>4.7E-2</v>
      </c>
      <c r="H375" s="13">
        <v>6.4000000000000001E-2</v>
      </c>
      <c r="I375" s="1366">
        <v>4.8399999999999999E-2</v>
      </c>
      <c r="J375" s="13">
        <v>4.9000000000000002E-2</v>
      </c>
      <c r="K375" s="13">
        <v>5.2222131036174416E-2</v>
      </c>
      <c r="L375" s="13">
        <v>4.8480368156562974E-2</v>
      </c>
      <c r="M375" s="13">
        <v>6.2873979175326875E-2</v>
      </c>
      <c r="N375" s="13">
        <f t="shared" si="43"/>
        <v>0</v>
      </c>
    </row>
    <row r="376" spans="1:14" x14ac:dyDescent="0.25">
      <c r="A376" s="1365">
        <v>0.57999999999999996</v>
      </c>
      <c r="B376" s="13">
        <v>6.1774205666006818E-2</v>
      </c>
      <c r="C376" s="13">
        <v>4.5183164504347624E-2</v>
      </c>
      <c r="D376" s="1375">
        <v>7.22E-2</v>
      </c>
      <c r="E376" s="1375">
        <v>4.9000000000000002E-2</v>
      </c>
      <c r="F376" s="13">
        <v>7.22E-2</v>
      </c>
      <c r="G376" s="13">
        <v>4.9000000000000002E-2</v>
      </c>
      <c r="H376" s="13">
        <v>6.4199999999999993E-2</v>
      </c>
      <c r="I376" s="1366">
        <v>4.9299999999999997E-2</v>
      </c>
      <c r="J376" s="13">
        <v>0.05</v>
      </c>
      <c r="K376" s="13">
        <v>5.2591713345789042E-2</v>
      </c>
      <c r="L376" s="13">
        <v>4.8688566350089557E-2</v>
      </c>
      <c r="M376" s="13">
        <v>6.3164423709506132E-2</v>
      </c>
      <c r="N376" s="13">
        <f t="shared" si="43"/>
        <v>0</v>
      </c>
    </row>
    <row r="377" spans="1:14" x14ac:dyDescent="0.25">
      <c r="A377" s="1365">
        <v>0.59</v>
      </c>
      <c r="B377" s="13">
        <v>6.1939915575577528E-2</v>
      </c>
      <c r="C377" s="13">
        <v>4.5327024871906374E-2</v>
      </c>
      <c r="D377" s="1375">
        <v>7.2400000000000006E-2</v>
      </c>
      <c r="E377" s="1375">
        <v>4.9000000000000002E-2</v>
      </c>
      <c r="F377" s="13">
        <v>7.2400000000000006E-2</v>
      </c>
      <c r="G377" s="13">
        <v>4.9000000000000002E-2</v>
      </c>
      <c r="H377" s="13">
        <v>6.4399999999999999E-2</v>
      </c>
      <c r="I377" s="1366">
        <v>4.9500000000000002E-2</v>
      </c>
      <c r="J377" s="13">
        <v>0.05</v>
      </c>
      <c r="K377" s="13">
        <v>5.2734236125703791E-2</v>
      </c>
      <c r="L377" s="13">
        <v>4.9002214274632451E-2</v>
      </c>
      <c r="M377" s="13">
        <v>6.393230774965751E-2</v>
      </c>
      <c r="N377" s="13">
        <f t="shared" si="43"/>
        <v>0</v>
      </c>
    </row>
    <row r="378" spans="1:14" x14ac:dyDescent="0.25">
      <c r="A378" s="1365">
        <v>0.6</v>
      </c>
      <c r="B378" s="13">
        <v>6.1993925758270528E-2</v>
      </c>
      <c r="C378" s="13">
        <v>4.6004072971367903E-2</v>
      </c>
      <c r="D378" s="1375">
        <v>7.2800000000000004E-2</v>
      </c>
      <c r="E378" s="1375">
        <v>5.0999999999999997E-2</v>
      </c>
      <c r="F378" s="13">
        <v>7.2800000000000004E-2</v>
      </c>
      <c r="G378" s="13">
        <v>5.0999999999999997E-2</v>
      </c>
      <c r="H378" s="13">
        <v>6.5100000000000005E-2</v>
      </c>
      <c r="I378" s="1366">
        <v>4.9799999999999997E-2</v>
      </c>
      <c r="J378" s="13">
        <v>0.05</v>
      </c>
      <c r="K378" s="13">
        <v>5.3002351874441272E-2</v>
      </c>
      <c r="L378" s="13">
        <v>4.9139402258445763E-2</v>
      </c>
      <c r="M378" s="13">
        <v>6.4932030300165144E-2</v>
      </c>
      <c r="N378" s="13">
        <f t="shared" si="43"/>
        <v>0</v>
      </c>
    </row>
    <row r="379" spans="1:14" x14ac:dyDescent="0.25">
      <c r="A379" s="1365">
        <v>0.61</v>
      </c>
      <c r="B379" s="13">
        <v>6.2186384156759367E-2</v>
      </c>
      <c r="C379" s="13">
        <v>4.643708771103619E-2</v>
      </c>
      <c r="D379" s="1375">
        <v>7.2900000000000006E-2</v>
      </c>
      <c r="E379" s="1375">
        <v>5.0999999999999997E-2</v>
      </c>
      <c r="F379" s="13">
        <v>7.2900000000000006E-2</v>
      </c>
      <c r="G379" s="13">
        <v>5.0999999999999997E-2</v>
      </c>
      <c r="H379" s="13">
        <v>6.5600000000000006E-2</v>
      </c>
      <c r="I379" s="1366">
        <v>5.0599999999999999E-2</v>
      </c>
      <c r="J379" s="13">
        <v>0.05</v>
      </c>
      <c r="K379" s="13">
        <v>5.3444681264741375E-2</v>
      </c>
      <c r="L379" s="13">
        <v>4.9278026878497777E-2</v>
      </c>
      <c r="M379" s="13">
        <v>6.5821140333275116E-2</v>
      </c>
      <c r="N379" s="13">
        <f t="shared" si="43"/>
        <v>0</v>
      </c>
    </row>
    <row r="380" spans="1:14" x14ac:dyDescent="0.25">
      <c r="A380" s="1365">
        <v>0.62</v>
      </c>
      <c r="B380" s="13">
        <v>6.2342440006238967E-2</v>
      </c>
      <c r="C380" s="13">
        <v>4.721545298680447E-2</v>
      </c>
      <c r="D380" s="1375">
        <v>7.2999999999999995E-2</v>
      </c>
      <c r="E380" s="1375">
        <v>5.2999999999999999E-2</v>
      </c>
      <c r="F380" s="13">
        <v>7.2999999999999995E-2</v>
      </c>
      <c r="G380" s="13">
        <v>5.2999999999999999E-2</v>
      </c>
      <c r="H380" s="13">
        <v>6.5699999999999995E-2</v>
      </c>
      <c r="I380" s="1366">
        <v>5.0999999999999997E-2</v>
      </c>
      <c r="J380" s="13">
        <v>5.0999999999999997E-2</v>
      </c>
      <c r="K380" s="13">
        <v>5.3932821134279017E-2</v>
      </c>
      <c r="L380" s="13">
        <v>4.9379313217307638E-2</v>
      </c>
      <c r="M380" s="13">
        <v>6.5855203170441107E-2</v>
      </c>
      <c r="N380" s="13">
        <f t="shared" si="43"/>
        <v>0</v>
      </c>
    </row>
    <row r="381" spans="1:14" x14ac:dyDescent="0.25">
      <c r="A381" s="1365">
        <v>0.63</v>
      </c>
      <c r="B381" s="13">
        <v>6.2927239737997201E-2</v>
      </c>
      <c r="C381" s="13">
        <v>4.7767938300883571E-2</v>
      </c>
      <c r="D381" s="1375">
        <v>7.2999999999999995E-2</v>
      </c>
      <c r="E381" s="1375">
        <v>5.2999999999999999E-2</v>
      </c>
      <c r="F381" s="13">
        <v>7.2999999999999995E-2</v>
      </c>
      <c r="G381" s="13">
        <v>5.2999999999999999E-2</v>
      </c>
      <c r="H381" s="13">
        <v>6.6000000000000003E-2</v>
      </c>
      <c r="I381" s="1366">
        <v>5.0999999999999997E-2</v>
      </c>
      <c r="J381" s="13">
        <v>5.0999999999999997E-2</v>
      </c>
      <c r="K381" s="13">
        <v>5.501210284829066E-2</v>
      </c>
      <c r="L381" s="13">
        <v>4.9620269072410704E-2</v>
      </c>
      <c r="M381" s="13">
        <v>6.6075300813832116E-2</v>
      </c>
      <c r="N381" s="13">
        <f t="shared" si="43"/>
        <v>0</v>
      </c>
    </row>
    <row r="382" spans="1:14" x14ac:dyDescent="0.25">
      <c r="A382" s="1365">
        <v>0.64</v>
      </c>
      <c r="B382" s="13">
        <v>6.3524055637014659E-2</v>
      </c>
      <c r="C382" s="13">
        <v>4.8749942978221862E-2</v>
      </c>
      <c r="D382" s="1375">
        <v>7.3200000000000001E-2</v>
      </c>
      <c r="E382" s="1375">
        <v>5.3999999999999999E-2</v>
      </c>
      <c r="F382" s="13">
        <v>7.3200000000000001E-2</v>
      </c>
      <c r="G382" s="13">
        <v>5.3999999999999999E-2</v>
      </c>
      <c r="H382" s="13">
        <v>6.6299999999999998E-2</v>
      </c>
      <c r="I382" s="1366">
        <v>5.1799999999999999E-2</v>
      </c>
      <c r="J382" s="13">
        <v>5.0999999999999997E-2</v>
      </c>
      <c r="K382" s="13">
        <v>5.5090844069738375E-2</v>
      </c>
      <c r="L382" s="13">
        <v>4.9944075691687739E-2</v>
      </c>
      <c r="M382" s="13">
        <v>6.6206959795761453E-2</v>
      </c>
      <c r="N382" s="13">
        <f t="shared" si="43"/>
        <v>0</v>
      </c>
    </row>
    <row r="383" spans="1:14" x14ac:dyDescent="0.25">
      <c r="A383" s="1365">
        <v>0.65</v>
      </c>
      <c r="B383" s="13">
        <v>6.4042588961187405E-2</v>
      </c>
      <c r="C383" s="13">
        <v>4.9264909847434118E-2</v>
      </c>
      <c r="D383" s="1375">
        <v>7.3300000000000004E-2</v>
      </c>
      <c r="E383" s="1375">
        <v>5.3999999999999999E-2</v>
      </c>
      <c r="F383" s="13">
        <v>7.3300000000000004E-2</v>
      </c>
      <c r="G383" s="13">
        <v>5.3999999999999999E-2</v>
      </c>
      <c r="H383" s="13">
        <v>6.7000000000000004E-2</v>
      </c>
      <c r="I383" s="1366">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0</v>
      </c>
    </row>
    <row r="384" spans="1:14" x14ac:dyDescent="0.25">
      <c r="A384" s="1365">
        <v>0.66</v>
      </c>
      <c r="B384" s="13">
        <v>6.4491099443865982E-2</v>
      </c>
      <c r="C384" s="13">
        <v>5.1366090075788372E-2</v>
      </c>
      <c r="D384" s="1375">
        <v>7.3499999999999996E-2</v>
      </c>
      <c r="E384" s="1375">
        <v>5.7000000000000002E-2</v>
      </c>
      <c r="F384" s="13">
        <v>7.3499999999999996E-2</v>
      </c>
      <c r="G384" s="13">
        <v>5.7000000000000002E-2</v>
      </c>
      <c r="H384" s="13">
        <v>6.7699999999999996E-2</v>
      </c>
      <c r="I384" s="1366">
        <v>5.3100000000000001E-2</v>
      </c>
      <c r="J384" s="13">
        <v>5.1999999999999998E-2</v>
      </c>
      <c r="K384" s="13">
        <v>5.5680815247002101E-2</v>
      </c>
      <c r="L384" s="13">
        <v>5.0320782820311612E-2</v>
      </c>
      <c r="M384" s="13">
        <v>6.7013514848077022E-2</v>
      </c>
      <c r="N384" s="13">
        <f t="shared" si="44"/>
        <v>0</v>
      </c>
    </row>
    <row r="385" spans="1:14" x14ac:dyDescent="0.25">
      <c r="A385" s="1365">
        <v>0.67</v>
      </c>
      <c r="B385" s="13">
        <v>6.5234279720903815E-2</v>
      </c>
      <c r="C385" s="13">
        <v>5.1740699531236715E-2</v>
      </c>
      <c r="D385" s="1375">
        <v>7.3700000000000002E-2</v>
      </c>
      <c r="E385" s="1375">
        <v>5.7000000000000002E-2</v>
      </c>
      <c r="F385" s="13">
        <v>7.3700000000000002E-2</v>
      </c>
      <c r="G385" s="13">
        <v>5.7000000000000002E-2</v>
      </c>
      <c r="H385" s="13">
        <v>6.8599999999999994E-2</v>
      </c>
      <c r="I385" s="1366">
        <v>5.4600000000000003E-2</v>
      </c>
      <c r="J385" s="13">
        <v>5.1999999999999998E-2</v>
      </c>
      <c r="K385" s="13">
        <v>5.631454841069513E-2</v>
      </c>
      <c r="L385" s="13">
        <v>5.0494028524765339E-2</v>
      </c>
      <c r="M385" s="13">
        <v>6.8112732248104421E-2</v>
      </c>
      <c r="N385" s="13">
        <f t="shared" si="44"/>
        <v>0</v>
      </c>
    </row>
    <row r="386" spans="1:14" x14ac:dyDescent="0.25">
      <c r="A386" s="1365">
        <v>0.68</v>
      </c>
      <c r="B386" s="13">
        <v>6.5386091365572191E-2</v>
      </c>
      <c r="C386" s="13">
        <v>5.1947832896599502E-2</v>
      </c>
      <c r="D386" s="1375">
        <v>7.3899999999999993E-2</v>
      </c>
      <c r="E386" s="1375">
        <v>5.8999999999999997E-2</v>
      </c>
      <c r="F386" s="13">
        <v>7.3899999999999993E-2</v>
      </c>
      <c r="G386" s="13">
        <v>5.8999999999999997E-2</v>
      </c>
      <c r="H386" s="13">
        <v>6.88E-2</v>
      </c>
      <c r="I386" s="1366">
        <v>5.4699999999999999E-2</v>
      </c>
      <c r="J386" s="13">
        <v>5.2999999999999999E-2</v>
      </c>
      <c r="K386" s="13">
        <v>5.705805026188461E-2</v>
      </c>
      <c r="L386" s="13">
        <v>5.094950879199947E-2</v>
      </c>
      <c r="M386" s="13">
        <v>6.8223173672242274E-2</v>
      </c>
      <c r="N386" s="13">
        <f t="shared" si="44"/>
        <v>0</v>
      </c>
    </row>
    <row r="387" spans="1:14" x14ac:dyDescent="0.25">
      <c r="A387" s="1365">
        <v>0.69</v>
      </c>
      <c r="B387" s="13">
        <v>6.5537903010240553E-2</v>
      </c>
      <c r="C387" s="13">
        <v>5.2330278152719546E-2</v>
      </c>
      <c r="D387" s="1375">
        <v>7.3999999999999996E-2</v>
      </c>
      <c r="E387" s="1375">
        <v>5.8999999999999997E-2</v>
      </c>
      <c r="F387" s="13">
        <v>7.3999999999999996E-2</v>
      </c>
      <c r="G387" s="13">
        <v>5.8999999999999997E-2</v>
      </c>
      <c r="H387" s="13">
        <v>6.88E-2</v>
      </c>
      <c r="I387" s="1366">
        <v>5.4899999999999997E-2</v>
      </c>
      <c r="J387" s="13">
        <v>5.2999999999999999E-2</v>
      </c>
      <c r="K387" s="13">
        <v>5.7464238769413575E-2</v>
      </c>
      <c r="L387" s="13">
        <v>5.1093692540879081E-2</v>
      </c>
      <c r="M387" s="13">
        <v>6.8932254391764813E-2</v>
      </c>
      <c r="N387" s="13">
        <f t="shared" si="44"/>
        <v>0</v>
      </c>
    </row>
    <row r="388" spans="1:14" x14ac:dyDescent="0.25">
      <c r="A388" s="1365">
        <v>0.7</v>
      </c>
      <c r="B388" s="13">
        <v>6.5834444712891113E-2</v>
      </c>
      <c r="C388" s="13">
        <v>5.2747100214346788E-2</v>
      </c>
      <c r="D388" s="1375">
        <v>7.4300000000000005E-2</v>
      </c>
      <c r="E388" s="1375">
        <v>6.0999999999999999E-2</v>
      </c>
      <c r="F388" s="13">
        <v>7.4300000000000005E-2</v>
      </c>
      <c r="G388" s="13">
        <v>6.0999999999999999E-2</v>
      </c>
      <c r="H388" s="13">
        <v>6.8900000000000003E-2</v>
      </c>
      <c r="I388" s="1366">
        <v>5.5E-2</v>
      </c>
      <c r="J388" s="13">
        <v>5.3999999999999999E-2</v>
      </c>
      <c r="K388" s="13">
        <v>5.799673931818327E-2</v>
      </c>
      <c r="L388" s="13">
        <v>5.1386316891839562E-2</v>
      </c>
      <c r="M388" s="13">
        <v>6.900667799206181E-2</v>
      </c>
      <c r="N388" s="13">
        <f t="shared" si="44"/>
        <v>0</v>
      </c>
    </row>
    <row r="389" spans="1:14" x14ac:dyDescent="0.25">
      <c r="A389" s="1365">
        <v>0.71</v>
      </c>
      <c r="B389" s="13">
        <v>6.6309411042600838E-2</v>
      </c>
      <c r="C389" s="13">
        <v>5.3171041567899015E-2</v>
      </c>
      <c r="D389" s="1375">
        <v>7.4499999999999997E-2</v>
      </c>
      <c r="E389" s="1375">
        <v>6.0999999999999999E-2</v>
      </c>
      <c r="F389" s="13">
        <v>7.4499999999999997E-2</v>
      </c>
      <c r="G389" s="13">
        <v>6.0999999999999999E-2</v>
      </c>
      <c r="H389" s="13">
        <v>6.9099999999999995E-2</v>
      </c>
      <c r="I389" s="1366">
        <v>5.6800000000000003E-2</v>
      </c>
      <c r="J389" s="13">
        <v>5.3999999999999999E-2</v>
      </c>
      <c r="K389" s="13">
        <v>5.8497074522364301E-2</v>
      </c>
      <c r="L389" s="13">
        <v>5.1657496644722613E-2</v>
      </c>
      <c r="M389" s="13">
        <v>7.015111425968748E-2</v>
      </c>
      <c r="N389" s="13">
        <f t="shared" si="44"/>
        <v>0</v>
      </c>
    </row>
    <row r="390" spans="1:14" x14ac:dyDescent="0.25">
      <c r="A390" s="1365">
        <v>0.72</v>
      </c>
      <c r="B390" s="13">
        <v>6.6807676162080318E-2</v>
      </c>
      <c r="C390" s="13">
        <v>5.4215956848340449E-2</v>
      </c>
      <c r="D390" s="1375">
        <v>7.4700000000000003E-2</v>
      </c>
      <c r="E390" s="1375">
        <v>6.5000000000000002E-2</v>
      </c>
      <c r="F390" s="13">
        <v>7.4700000000000003E-2</v>
      </c>
      <c r="G390" s="13">
        <v>6.5000000000000002E-2</v>
      </c>
      <c r="H390" s="13">
        <v>6.9699999999999998E-2</v>
      </c>
      <c r="I390" s="1366">
        <v>5.7200000000000001E-2</v>
      </c>
      <c r="J390" s="13">
        <v>5.3999999999999999E-2</v>
      </c>
      <c r="K390" s="13">
        <v>5.8785530283369025E-2</v>
      </c>
      <c r="L390" s="13">
        <v>5.1791677382411382E-2</v>
      </c>
      <c r="M390" s="13">
        <v>7.0151968223423303E-2</v>
      </c>
      <c r="N390" s="13">
        <f t="shared" si="44"/>
        <v>0</v>
      </c>
    </row>
    <row r="391" spans="1:14" x14ac:dyDescent="0.25">
      <c r="A391" s="1365">
        <v>0.73</v>
      </c>
      <c r="B391" s="13">
        <v>6.7263026243719229E-2</v>
      </c>
      <c r="C391" s="13">
        <v>5.4737022242585198E-2</v>
      </c>
      <c r="D391" s="1375">
        <v>7.4899999999999994E-2</v>
      </c>
      <c r="E391" s="1375">
        <v>6.5000000000000002E-2</v>
      </c>
      <c r="F391" s="13">
        <v>7.4899999999999994E-2</v>
      </c>
      <c r="G391" s="13">
        <v>6.5000000000000002E-2</v>
      </c>
      <c r="H391" s="13">
        <v>6.9800000000000001E-2</v>
      </c>
      <c r="I391" s="1366">
        <v>5.7599999999999998E-2</v>
      </c>
      <c r="J391" s="13">
        <v>5.3999999999999999E-2</v>
      </c>
      <c r="K391" s="13">
        <v>5.9651302839740947E-2</v>
      </c>
      <c r="L391" s="13">
        <v>5.2002054928136324E-2</v>
      </c>
      <c r="M391" s="13">
        <v>7.0664862438961806E-2</v>
      </c>
      <c r="N391" s="13">
        <f t="shared" si="44"/>
        <v>0</v>
      </c>
    </row>
    <row r="392" spans="1:14" x14ac:dyDescent="0.25">
      <c r="A392" s="1365">
        <v>0.74</v>
      </c>
      <c r="B392" s="13">
        <v>6.7519753309499275E-2</v>
      </c>
      <c r="C392" s="13">
        <v>5.5677446998567248E-2</v>
      </c>
      <c r="D392" s="1375">
        <v>7.5200000000000003E-2</v>
      </c>
      <c r="E392" s="1375">
        <v>6.6000000000000003E-2</v>
      </c>
      <c r="F392" s="13">
        <v>7.5200000000000003E-2</v>
      </c>
      <c r="G392" s="13">
        <v>6.6000000000000003E-2</v>
      </c>
      <c r="H392" s="13">
        <v>7.0000000000000007E-2</v>
      </c>
      <c r="I392" s="1366">
        <v>5.8400000000000001E-2</v>
      </c>
      <c r="J392" s="13">
        <v>5.5E-2</v>
      </c>
      <c r="K392" s="13">
        <v>6.0475046557134225E-2</v>
      </c>
      <c r="L392" s="13">
        <v>5.2280959284592809E-2</v>
      </c>
      <c r="M392" s="13">
        <v>7.0758333556098243E-2</v>
      </c>
      <c r="N392" s="13">
        <f t="shared" si="44"/>
        <v>0</v>
      </c>
    </row>
    <row r="393" spans="1:14" x14ac:dyDescent="0.25">
      <c r="A393" s="1365">
        <v>0.75</v>
      </c>
      <c r="B393" s="13">
        <v>6.8349768318160184E-2</v>
      </c>
      <c r="C393" s="13">
        <v>5.6487905757467705E-2</v>
      </c>
      <c r="D393" s="1375">
        <v>7.5499999999999998E-2</v>
      </c>
      <c r="E393" s="1375">
        <v>6.6000000000000003E-2</v>
      </c>
      <c r="F393" s="13">
        <v>7.5499999999999998E-2</v>
      </c>
      <c r="G393" s="13">
        <v>6.6000000000000003E-2</v>
      </c>
      <c r="H393" s="13">
        <v>7.0300000000000001E-2</v>
      </c>
      <c r="I393" s="1366">
        <v>5.8500000000000003E-2</v>
      </c>
      <c r="J393" s="13">
        <v>5.5E-2</v>
      </c>
      <c r="K393" s="13">
        <v>6.0988388339712242E-2</v>
      </c>
      <c r="L393" s="13">
        <v>5.2741333383053583E-2</v>
      </c>
      <c r="M393" s="13">
        <v>7.1580686877456071E-2</v>
      </c>
      <c r="N393" s="13">
        <f t="shared" si="44"/>
        <v>0</v>
      </c>
    </row>
    <row r="394" spans="1:14" x14ac:dyDescent="0.25">
      <c r="A394" s="1365">
        <v>0.76</v>
      </c>
      <c r="B394" s="13">
        <v>6.9526934147364342E-2</v>
      </c>
      <c r="C394" s="13">
        <v>5.7201600083459814E-2</v>
      </c>
      <c r="D394" s="1375">
        <v>7.5700000000000003E-2</v>
      </c>
      <c r="E394" s="1375">
        <v>6.7000000000000004E-2</v>
      </c>
      <c r="F394" s="13">
        <v>7.5700000000000003E-2</v>
      </c>
      <c r="G394" s="13">
        <v>6.7000000000000004E-2</v>
      </c>
      <c r="H394" s="13">
        <v>7.0599999999999996E-2</v>
      </c>
      <c r="I394" s="1366">
        <v>5.8799999999999998E-2</v>
      </c>
      <c r="J394" s="13">
        <v>5.6000000000000001E-2</v>
      </c>
      <c r="K394" s="13">
        <v>6.2225982248819006E-2</v>
      </c>
      <c r="L394" s="13">
        <v>5.3130503404853952E-2</v>
      </c>
      <c r="M394" s="13">
        <v>7.2195860514925048E-2</v>
      </c>
      <c r="N394" s="13">
        <f t="shared" si="44"/>
        <v>0</v>
      </c>
    </row>
    <row r="395" spans="1:14" x14ac:dyDescent="0.25">
      <c r="A395" s="1365">
        <v>0.77</v>
      </c>
      <c r="B395" s="13">
        <v>6.9944272856261328E-2</v>
      </c>
      <c r="C395" s="13">
        <v>5.7302030739530746E-2</v>
      </c>
      <c r="D395" s="1375">
        <v>7.5899999999999995E-2</v>
      </c>
      <c r="E395" s="1375">
        <v>6.7000000000000004E-2</v>
      </c>
      <c r="F395" s="13">
        <v>7.5899999999999995E-2</v>
      </c>
      <c r="G395" s="13">
        <v>6.7000000000000004E-2</v>
      </c>
      <c r="H395" s="13">
        <v>7.1400000000000005E-2</v>
      </c>
      <c r="I395" s="1366">
        <v>5.9299999999999999E-2</v>
      </c>
      <c r="J395" s="13">
        <v>5.6000000000000001E-2</v>
      </c>
      <c r="K395" s="13">
        <v>6.232600114961822E-2</v>
      </c>
      <c r="L395" s="13">
        <v>5.344237664558122E-2</v>
      </c>
      <c r="M395" s="13">
        <v>7.2243483840483264E-2</v>
      </c>
      <c r="N395" s="13">
        <f t="shared" si="44"/>
        <v>0</v>
      </c>
    </row>
    <row r="396" spans="1:14" x14ac:dyDescent="0.25">
      <c r="A396" s="1365">
        <v>0.78</v>
      </c>
      <c r="B396" s="13">
        <v>7.0569739482007565E-2</v>
      </c>
      <c r="C396" s="13">
        <v>5.7570579437147509E-2</v>
      </c>
      <c r="D396" s="1375">
        <v>7.6200000000000004E-2</v>
      </c>
      <c r="E396" s="1375">
        <v>7.1999999999999995E-2</v>
      </c>
      <c r="F396" s="13">
        <v>7.6200000000000004E-2</v>
      </c>
      <c r="G396" s="13">
        <v>7.1999999999999995E-2</v>
      </c>
      <c r="H396" s="13">
        <v>7.2999999999999995E-2</v>
      </c>
      <c r="I396" s="1366">
        <v>5.96E-2</v>
      </c>
      <c r="J396" s="13">
        <v>5.8000000000000003E-2</v>
      </c>
      <c r="K396" s="13">
        <v>6.3512252724869031E-2</v>
      </c>
      <c r="L396" s="13">
        <v>5.4074275095339151E-2</v>
      </c>
      <c r="M396" s="13">
        <v>7.2331641027570684E-2</v>
      </c>
      <c r="N396" s="13">
        <f t="shared" si="44"/>
        <v>0</v>
      </c>
    </row>
    <row r="397" spans="1:14" x14ac:dyDescent="0.25">
      <c r="A397" s="1365">
        <v>0.79</v>
      </c>
      <c r="B397" s="13">
        <v>7.1835351614450454E-2</v>
      </c>
      <c r="C397" s="13">
        <v>5.7571792991735669E-2</v>
      </c>
      <c r="D397" s="1375">
        <v>7.6499999999999999E-2</v>
      </c>
      <c r="E397" s="1375">
        <v>7.1999999999999995E-2</v>
      </c>
      <c r="F397" s="13">
        <v>7.6499999999999999E-2</v>
      </c>
      <c r="G397" s="13">
        <v>7.1999999999999995E-2</v>
      </c>
      <c r="H397" s="13">
        <v>7.3499999999999996E-2</v>
      </c>
      <c r="I397" s="1366">
        <v>6.2E-2</v>
      </c>
      <c r="J397" s="13">
        <v>5.8000000000000003E-2</v>
      </c>
      <c r="K397" s="13">
        <v>6.374841701956406E-2</v>
      </c>
      <c r="L397" s="13">
        <v>5.4845459312620422E-2</v>
      </c>
      <c r="M397" s="13">
        <v>7.3686593231157227E-2</v>
      </c>
      <c r="N397" s="13">
        <f t="shared" si="44"/>
        <v>0</v>
      </c>
    </row>
    <row r="398" spans="1:14" x14ac:dyDescent="0.25">
      <c r="A398" s="1365">
        <v>0.8</v>
      </c>
      <c r="B398" s="13">
        <v>7.3318821187959571E-2</v>
      </c>
      <c r="C398" s="13">
        <v>5.7746596838690198E-2</v>
      </c>
      <c r="D398" s="1375">
        <v>7.6700000000000004E-2</v>
      </c>
      <c r="E398" s="1375">
        <v>7.9000000000000001E-2</v>
      </c>
      <c r="F398" s="13">
        <v>7.6700000000000004E-2</v>
      </c>
      <c r="G398" s="13">
        <v>7.9000000000000001E-2</v>
      </c>
      <c r="H398" s="13">
        <v>7.4499999999999997E-2</v>
      </c>
      <c r="I398" s="1366">
        <v>6.4000000000000001E-2</v>
      </c>
      <c r="J398" s="13">
        <v>5.8000000000000003E-2</v>
      </c>
      <c r="K398" s="13">
        <v>6.4396069103546089E-2</v>
      </c>
      <c r="L398" s="13">
        <v>5.5215033841479154E-2</v>
      </c>
      <c r="M398" s="13">
        <v>7.4197133493800485E-2</v>
      </c>
      <c r="N398" s="13">
        <f t="shared" si="44"/>
        <v>0</v>
      </c>
    </row>
    <row r="399" spans="1:14" x14ac:dyDescent="0.25">
      <c r="A399" s="1365">
        <v>0.81</v>
      </c>
      <c r="B399" s="13">
        <v>7.456336231958885E-2</v>
      </c>
      <c r="C399" s="13">
        <v>5.8700886770003083E-2</v>
      </c>
      <c r="D399" s="1375">
        <v>7.7200000000000005E-2</v>
      </c>
      <c r="E399" s="1375">
        <v>7.9000000000000001E-2</v>
      </c>
      <c r="F399" s="13">
        <v>7.7200000000000005E-2</v>
      </c>
      <c r="G399" s="13">
        <v>7.9000000000000001E-2</v>
      </c>
      <c r="H399" s="13">
        <v>7.4999999999999997E-2</v>
      </c>
      <c r="I399" s="1366">
        <v>6.6100000000000006E-2</v>
      </c>
      <c r="J399" s="13">
        <v>5.8000000000000003E-2</v>
      </c>
      <c r="K399" s="13">
        <v>6.4831366700613985E-2</v>
      </c>
      <c r="L399" s="13">
        <v>5.57246334791393E-2</v>
      </c>
      <c r="M399" s="13">
        <v>7.4839620265650247E-2</v>
      </c>
      <c r="N399" s="13">
        <f t="shared" si="44"/>
        <v>0</v>
      </c>
    </row>
    <row r="400" spans="1:14" x14ac:dyDescent="0.25">
      <c r="A400" s="1365">
        <v>0.82</v>
      </c>
      <c r="B400" s="13">
        <v>7.546792825035456E-2</v>
      </c>
      <c r="C400" s="13">
        <v>5.9397273977741645E-2</v>
      </c>
      <c r="D400" s="1375">
        <v>7.7499999999999999E-2</v>
      </c>
      <c r="E400" s="1375">
        <v>9.0999999999999998E-2</v>
      </c>
      <c r="F400" s="13">
        <v>7.7499999999999999E-2</v>
      </c>
      <c r="G400" s="13">
        <v>9.0999999999999998E-2</v>
      </c>
      <c r="H400" s="13">
        <v>7.5200000000000003E-2</v>
      </c>
      <c r="I400" s="1366">
        <v>6.7599999999999993E-2</v>
      </c>
      <c r="J400" s="13">
        <v>5.8999999999999997E-2</v>
      </c>
      <c r="K400" s="13">
        <v>6.5251265149407864E-2</v>
      </c>
      <c r="L400" s="13">
        <v>5.6146245369921931E-2</v>
      </c>
      <c r="M400" s="13">
        <v>7.5036109714589627E-2</v>
      </c>
      <c r="N400" s="13">
        <f t="shared" si="44"/>
        <v>0</v>
      </c>
    </row>
    <row r="401" spans="1:14" x14ac:dyDescent="0.25">
      <c r="A401" s="1365">
        <v>0.83</v>
      </c>
      <c r="B401" s="13">
        <v>7.6786068680727446E-2</v>
      </c>
      <c r="C401" s="13">
        <v>6.1225213056564504E-2</v>
      </c>
      <c r="D401" s="1375">
        <v>7.7700000000000005E-2</v>
      </c>
      <c r="E401" s="1375">
        <v>9.0999999999999998E-2</v>
      </c>
      <c r="F401" s="13">
        <v>7.7700000000000005E-2</v>
      </c>
      <c r="G401" s="13">
        <v>9.0999999999999998E-2</v>
      </c>
      <c r="H401" s="13">
        <v>7.5899999999999995E-2</v>
      </c>
      <c r="I401" s="1366">
        <v>6.93E-2</v>
      </c>
      <c r="J401" s="13">
        <v>5.8999999999999997E-2</v>
      </c>
      <c r="K401" s="13">
        <v>6.5534250951235481E-2</v>
      </c>
      <c r="L401" s="13">
        <v>5.6476884503660826E-2</v>
      </c>
      <c r="M401" s="13">
        <v>7.6484238108261812E-2</v>
      </c>
      <c r="N401" s="13">
        <f t="shared" si="44"/>
        <v>0</v>
      </c>
    </row>
    <row r="402" spans="1:14" x14ac:dyDescent="0.25">
      <c r="A402" s="1365">
        <v>0.84</v>
      </c>
      <c r="B402" s="13">
        <v>7.779102862596432E-2</v>
      </c>
      <c r="C402" s="13">
        <v>6.1403813647852884E-2</v>
      </c>
      <c r="D402" s="1375">
        <v>7.8E-2</v>
      </c>
      <c r="E402" s="1375">
        <v>0.127</v>
      </c>
      <c r="F402" s="13">
        <v>7.8E-2</v>
      </c>
      <c r="G402" s="13">
        <v>0.127</v>
      </c>
      <c r="H402" s="13">
        <v>7.5999999999999998E-2</v>
      </c>
      <c r="I402" s="1366">
        <v>7.1199999999999999E-2</v>
      </c>
      <c r="J402" s="13">
        <v>0.06</v>
      </c>
      <c r="K402" s="13">
        <v>6.6243486792298065E-2</v>
      </c>
      <c r="L402" s="13">
        <v>5.689821487178448E-2</v>
      </c>
      <c r="M402" s="13">
        <v>7.8010502268406182E-2</v>
      </c>
      <c r="N402" s="13">
        <f t="shared" si="44"/>
        <v>0</v>
      </c>
    </row>
    <row r="403" spans="1:14" x14ac:dyDescent="0.25">
      <c r="A403" s="1365">
        <v>0.85</v>
      </c>
      <c r="B403" s="13">
        <v>7.9082518335924099E-2</v>
      </c>
      <c r="C403" s="13">
        <v>6.1404255913513887E-2</v>
      </c>
      <c r="D403" s="1375">
        <v>7.9000000000000001E-2</v>
      </c>
      <c r="E403" s="1375">
        <v>0.127</v>
      </c>
      <c r="F403" s="13">
        <v>7.9000000000000001E-2</v>
      </c>
      <c r="G403" s="13">
        <v>0.127</v>
      </c>
      <c r="H403" s="13">
        <v>7.8E-2</v>
      </c>
      <c r="I403" s="1366">
        <v>7.1900000000000006E-2</v>
      </c>
      <c r="J403" s="13">
        <v>0.06</v>
      </c>
      <c r="K403" s="13">
        <v>6.7298888481425956E-2</v>
      </c>
      <c r="L403" s="13">
        <v>5.7515999847886315E-2</v>
      </c>
      <c r="M403" s="13">
        <v>7.8135428493981016E-2</v>
      </c>
      <c r="N403" s="13">
        <f t="shared" si="44"/>
        <v>0</v>
      </c>
    </row>
    <row r="404" spans="1:14" x14ac:dyDescent="0.25">
      <c r="A404" s="1365">
        <v>0.86</v>
      </c>
      <c r="B404" s="13">
        <v>8.021838071126243E-2</v>
      </c>
      <c r="C404" s="13">
        <v>6.1465478117159474E-2</v>
      </c>
      <c r="D404" s="1375">
        <v>7.9100000000000004E-2</v>
      </c>
      <c r="E404" s="1375">
        <v>0.129</v>
      </c>
      <c r="F404" s="13">
        <v>7.9100000000000004E-2</v>
      </c>
      <c r="G404" s="13">
        <v>0.129</v>
      </c>
      <c r="H404" s="13">
        <v>7.8399999999999997E-2</v>
      </c>
      <c r="I404" s="1366">
        <v>7.1900000000000006E-2</v>
      </c>
      <c r="J404" s="13">
        <v>6.2E-2</v>
      </c>
      <c r="K404" s="13">
        <v>6.9072317960505891E-2</v>
      </c>
      <c r="L404" s="13">
        <v>5.8016816830537096E-2</v>
      </c>
      <c r="M404" s="13">
        <v>7.8750659382053251E-2</v>
      </c>
      <c r="N404" s="13">
        <f t="shared" si="44"/>
        <v>0</v>
      </c>
    </row>
    <row r="405" spans="1:14" x14ac:dyDescent="0.25">
      <c r="A405" s="1365">
        <v>0.87</v>
      </c>
      <c r="B405" s="13">
        <v>8.1918047339357716E-2</v>
      </c>
      <c r="C405" s="13">
        <v>6.3171468325796093E-2</v>
      </c>
      <c r="D405" s="1375">
        <v>7.9699999999999993E-2</v>
      </c>
      <c r="E405" s="1375">
        <v>0.129</v>
      </c>
      <c r="F405" s="13">
        <v>7.9699999999999993E-2</v>
      </c>
      <c r="G405" s="13">
        <v>0.129</v>
      </c>
      <c r="H405" s="13">
        <v>8.14E-2</v>
      </c>
      <c r="I405" s="1366">
        <v>7.3800000000000004E-2</v>
      </c>
      <c r="J405" s="13">
        <v>6.2E-2</v>
      </c>
      <c r="K405" s="13">
        <v>6.9471665301592059E-2</v>
      </c>
      <c r="L405" s="13">
        <v>5.863598462278384E-2</v>
      </c>
      <c r="M405" s="13">
        <v>7.959392530864362E-2</v>
      </c>
      <c r="N405" s="13">
        <f t="shared" si="44"/>
        <v>0</v>
      </c>
    </row>
    <row r="406" spans="1:14" x14ac:dyDescent="0.25">
      <c r="A406" s="1365">
        <v>0.88</v>
      </c>
      <c r="B406" s="13">
        <v>8.493755845983128E-2</v>
      </c>
      <c r="C406" s="13">
        <v>6.3448041894502608E-2</v>
      </c>
      <c r="D406" s="1375">
        <v>8.0399999999999999E-2</v>
      </c>
      <c r="E406" s="1375">
        <v>0.13600000000000001</v>
      </c>
      <c r="F406" s="13">
        <v>8.0399999999999999E-2</v>
      </c>
      <c r="G406" s="13">
        <v>0.13600000000000001</v>
      </c>
      <c r="H406" s="13">
        <v>8.1699999999999995E-2</v>
      </c>
      <c r="I406" s="1366">
        <v>7.5200000000000003E-2</v>
      </c>
      <c r="J406" s="13">
        <v>6.4000000000000001E-2</v>
      </c>
      <c r="K406" s="13">
        <v>7.0276315829456315E-2</v>
      </c>
      <c r="L406" s="13">
        <v>5.8995386075688827E-2</v>
      </c>
      <c r="M406" s="13">
        <v>7.9895031102273931E-2</v>
      </c>
      <c r="N406" s="13">
        <f t="shared" si="44"/>
        <v>0</v>
      </c>
    </row>
    <row r="407" spans="1:14" x14ac:dyDescent="0.25">
      <c r="A407" s="1365">
        <v>0.89</v>
      </c>
      <c r="B407" s="13">
        <v>8.5956957901898237E-2</v>
      </c>
      <c r="C407" s="13">
        <v>6.5407324667621808E-2</v>
      </c>
      <c r="D407" s="1375">
        <v>8.1299999999999997E-2</v>
      </c>
      <c r="E407" s="1375">
        <v>0.13600000000000001</v>
      </c>
      <c r="F407" s="13">
        <v>8.1299999999999997E-2</v>
      </c>
      <c r="G407" s="13">
        <v>0.13600000000000001</v>
      </c>
      <c r="H407" s="13">
        <v>8.4699999999999998E-2</v>
      </c>
      <c r="I407" s="1366">
        <v>7.9799999999999996E-2</v>
      </c>
      <c r="J407" s="13">
        <v>6.4000000000000001E-2</v>
      </c>
      <c r="K407" s="13">
        <v>7.1079794716608177E-2</v>
      </c>
      <c r="L407" s="13">
        <v>5.9759127698825382E-2</v>
      </c>
      <c r="M407" s="13">
        <v>8.0077036539599689E-2</v>
      </c>
      <c r="N407" s="13">
        <f t="shared" si="44"/>
        <v>0</v>
      </c>
    </row>
    <row r="408" spans="1:14" x14ac:dyDescent="0.25">
      <c r="A408" s="1365">
        <v>0.9</v>
      </c>
      <c r="B408" s="13">
        <v>8.8866737986844815E-2</v>
      </c>
      <c r="C408" s="13">
        <v>6.6983958048912731E-2</v>
      </c>
      <c r="D408" s="1375">
        <v>8.2299999999999998E-2</v>
      </c>
      <c r="E408" s="1375">
        <v>0.15</v>
      </c>
      <c r="F408" s="13">
        <v>8.2299999999999998E-2</v>
      </c>
      <c r="G408" s="13">
        <v>0.15</v>
      </c>
      <c r="H408" s="13">
        <v>8.6199999999999999E-2</v>
      </c>
      <c r="I408" s="1366">
        <v>8.43E-2</v>
      </c>
      <c r="J408" s="13">
        <v>6.6000000000000003E-2</v>
      </c>
      <c r="K408" s="13">
        <v>7.2831119380381643E-2</v>
      </c>
      <c r="L408" s="13">
        <v>6.0697400246521538E-2</v>
      </c>
      <c r="M408" s="13">
        <v>8.0335033689528212E-2</v>
      </c>
      <c r="N408" s="13">
        <f t="shared" si="44"/>
        <v>0</v>
      </c>
    </row>
    <row r="409" spans="1:14" x14ac:dyDescent="0.25">
      <c r="A409" s="1365">
        <v>0.91</v>
      </c>
      <c r="B409" s="13">
        <v>9.2438078194799975E-2</v>
      </c>
      <c r="C409" s="13">
        <v>6.9596642802092462E-2</v>
      </c>
      <c r="D409" s="1375">
        <v>8.3400000000000002E-2</v>
      </c>
      <c r="E409" s="1375">
        <v>0.15</v>
      </c>
      <c r="F409" s="13">
        <v>8.3400000000000002E-2</v>
      </c>
      <c r="G409" s="13">
        <v>0.15</v>
      </c>
      <c r="H409" s="13">
        <v>0.09</v>
      </c>
      <c r="I409" s="1366">
        <v>8.9800000000000005E-2</v>
      </c>
      <c r="J409" s="13">
        <v>6.6000000000000003E-2</v>
      </c>
      <c r="K409" s="13">
        <v>7.3087201971581639E-2</v>
      </c>
      <c r="L409" s="13">
        <v>6.2341367051995784E-2</v>
      </c>
      <c r="M409" s="13">
        <v>8.0947491697909102E-2</v>
      </c>
      <c r="N409" s="13">
        <f t="shared" si="44"/>
        <v>0</v>
      </c>
    </row>
    <row r="410" spans="1:14" x14ac:dyDescent="0.25">
      <c r="A410" s="1365">
        <v>0.92</v>
      </c>
      <c r="B410" s="13">
        <v>9.3759488916092662E-2</v>
      </c>
      <c r="C410" s="13">
        <v>7.1298069493638164E-2</v>
      </c>
      <c r="D410" s="1375">
        <v>8.3599999999999994E-2</v>
      </c>
      <c r="E410" s="1375">
        <v>0.17299999999999999</v>
      </c>
      <c r="F410" s="13">
        <v>8.3599999999999994E-2</v>
      </c>
      <c r="G410" s="13">
        <v>0.17299999999999999</v>
      </c>
      <c r="H410" s="13">
        <v>9.2100000000000001E-2</v>
      </c>
      <c r="I410" s="1366">
        <v>9.01E-2</v>
      </c>
      <c r="J410" s="13">
        <v>6.9000000000000006E-2</v>
      </c>
      <c r="K410" s="13">
        <v>7.3948960411485895E-2</v>
      </c>
      <c r="L410" s="13">
        <v>6.3084849485628064E-2</v>
      </c>
      <c r="M410" s="13">
        <v>8.1517807775567191E-2</v>
      </c>
      <c r="N410" s="13">
        <f t="shared" si="44"/>
        <v>0</v>
      </c>
    </row>
    <row r="411" spans="1:14" x14ac:dyDescent="0.25">
      <c r="A411" s="1365">
        <v>0.93</v>
      </c>
      <c r="B411" s="13">
        <v>9.3766233537097746E-2</v>
      </c>
      <c r="C411" s="13">
        <v>7.2279408769824985E-2</v>
      </c>
      <c r="D411" s="1375">
        <v>8.4699999999999998E-2</v>
      </c>
      <c r="E411" s="1375">
        <v>0.17299999999999999</v>
      </c>
      <c r="F411" s="13">
        <v>8.4699999999999998E-2</v>
      </c>
      <c r="G411" s="13">
        <v>0.17299999999999999</v>
      </c>
      <c r="H411" s="13">
        <v>9.6600000000000005E-2</v>
      </c>
      <c r="I411" s="1366">
        <v>9.0200000000000002E-2</v>
      </c>
      <c r="J411" s="13">
        <v>6.9000000000000006E-2</v>
      </c>
      <c r="K411" s="13">
        <v>7.550791398012173E-2</v>
      </c>
      <c r="L411" s="13">
        <v>6.38778247719477E-2</v>
      </c>
      <c r="M411" s="13">
        <v>8.1934165768493772E-2</v>
      </c>
      <c r="N411" s="13">
        <f t="shared" si="44"/>
        <v>0</v>
      </c>
    </row>
    <row r="412" spans="1:14" x14ac:dyDescent="0.25">
      <c r="A412" s="1365">
        <v>0.94</v>
      </c>
      <c r="B412" s="13">
        <v>9.5161923305407847E-2</v>
      </c>
      <c r="C412" s="13">
        <v>7.436830945816629E-2</v>
      </c>
      <c r="D412" s="1375">
        <v>8.5900000000000004E-2</v>
      </c>
      <c r="E412" s="1375">
        <v>0.20200000000000001</v>
      </c>
      <c r="F412" s="13">
        <v>8.5900000000000004E-2</v>
      </c>
      <c r="G412" s="13">
        <v>0.20200000000000001</v>
      </c>
      <c r="H412" s="13">
        <v>9.7900000000000001E-2</v>
      </c>
      <c r="I412" s="1366">
        <v>9.0899999999999995E-2</v>
      </c>
      <c r="J412" s="13">
        <v>7.0999999999999994E-2</v>
      </c>
      <c r="K412" s="13">
        <v>7.703745572012638E-2</v>
      </c>
      <c r="L412" s="13">
        <v>6.4686396958777329E-2</v>
      </c>
      <c r="M412" s="13">
        <v>8.2788005890371982E-2</v>
      </c>
      <c r="N412" s="13">
        <f t="shared" si="44"/>
        <v>0</v>
      </c>
    </row>
    <row r="413" spans="1:14" x14ac:dyDescent="0.25">
      <c r="A413" s="1365">
        <v>0.95</v>
      </c>
      <c r="B413" s="13">
        <v>9.6729733071243912E-2</v>
      </c>
      <c r="C413" s="13">
        <v>7.4684376163716634E-2</v>
      </c>
      <c r="D413" s="1375">
        <v>8.8300000000000003E-2</v>
      </c>
      <c r="E413" s="1375">
        <v>0.20200000000000001</v>
      </c>
      <c r="F413" s="13">
        <v>8.8300000000000003E-2</v>
      </c>
      <c r="G413" s="13">
        <v>0.20200000000000001</v>
      </c>
      <c r="H413" s="13">
        <v>9.8199999999999996E-2</v>
      </c>
      <c r="I413" s="1366">
        <v>0.1019</v>
      </c>
      <c r="J413" s="13">
        <v>7.1999999999999995E-2</v>
      </c>
      <c r="K413" s="13">
        <v>7.9921822537374163E-2</v>
      </c>
      <c r="L413" s="13">
        <v>6.5855203170441107E-2</v>
      </c>
      <c r="M413" s="13">
        <v>8.3007125120572137E-2</v>
      </c>
      <c r="N413" s="13">
        <f t="shared" si="44"/>
        <v>0</v>
      </c>
    </row>
    <row r="414" spans="1:14" x14ac:dyDescent="0.25">
      <c r="A414" s="1365">
        <v>0.96</v>
      </c>
      <c r="B414" s="13">
        <v>0.10271632464427888</v>
      </c>
      <c r="C414" s="13">
        <v>7.9082928687387588E-2</v>
      </c>
      <c r="D414" s="1375">
        <v>8.8599999999999998E-2</v>
      </c>
      <c r="E414" s="1375">
        <v>0.23200000000000001</v>
      </c>
      <c r="F414" s="13">
        <v>8.8599999999999998E-2</v>
      </c>
      <c r="G414" s="13">
        <v>0.23200000000000001</v>
      </c>
      <c r="H414" s="13">
        <v>0.107</v>
      </c>
      <c r="I414" s="1366">
        <v>0.12570000000000001</v>
      </c>
      <c r="J414" s="13">
        <v>7.2999999999999995E-2</v>
      </c>
      <c r="K414" s="13">
        <v>8.0757683881645462E-2</v>
      </c>
      <c r="L414" s="13">
        <v>6.7074884421271949E-2</v>
      </c>
      <c r="M414" s="13">
        <v>8.4553139281628331E-2</v>
      </c>
      <c r="N414" s="13">
        <f t="shared" si="44"/>
        <v>0</v>
      </c>
    </row>
    <row r="415" spans="1:14" x14ac:dyDescent="0.25">
      <c r="A415" s="1365">
        <v>0.97</v>
      </c>
      <c r="B415" s="13">
        <v>0.10829698002532144</v>
      </c>
      <c r="C415" s="13">
        <v>8.6975370551938547E-2</v>
      </c>
      <c r="D415" s="1375">
        <v>9.0300000000000005E-2</v>
      </c>
      <c r="E415" s="1375">
        <v>0.23200000000000001</v>
      </c>
      <c r="F415" s="13">
        <v>9.0300000000000005E-2</v>
      </c>
      <c r="G415" s="13">
        <v>0.23200000000000001</v>
      </c>
      <c r="H415" s="13">
        <v>0.1166</v>
      </c>
      <c r="I415" s="1366">
        <v>0.1356</v>
      </c>
      <c r="J415" s="13">
        <v>7.4999999999999997E-2</v>
      </c>
      <c r="K415" s="13">
        <v>8.8217612849514612E-2</v>
      </c>
      <c r="L415" s="13">
        <v>7.1580686877456071E-2</v>
      </c>
      <c r="M415" s="13">
        <v>8.5401322880950481E-2</v>
      </c>
      <c r="N415" s="13">
        <f t="shared" si="44"/>
        <v>0</v>
      </c>
    </row>
    <row r="416" spans="1:14" x14ac:dyDescent="0.25">
      <c r="A416" s="1365">
        <v>0.98</v>
      </c>
      <c r="B416" s="13">
        <v>0.11334344869830724</v>
      </c>
      <c r="C416" s="13">
        <v>9.8435266557093934E-2</v>
      </c>
      <c r="D416" s="1375">
        <v>9.1999999999999998E-2</v>
      </c>
      <c r="E416" s="1375">
        <v>0.28899999999999998</v>
      </c>
      <c r="F416" s="13">
        <v>9.1999999999999998E-2</v>
      </c>
      <c r="G416" s="13">
        <v>0.28899999999999998</v>
      </c>
      <c r="H416" s="13">
        <v>0.11799999999999999</v>
      </c>
      <c r="I416" s="1366">
        <v>0.13569999999999999</v>
      </c>
      <c r="J416" s="13">
        <v>7.8E-2</v>
      </c>
      <c r="K416" s="13">
        <v>9.4577579393877662E-2</v>
      </c>
      <c r="L416" s="13">
        <v>7.7026362919195762E-2</v>
      </c>
      <c r="M416" s="13">
        <v>8.6801984216314021E-2</v>
      </c>
      <c r="N416" s="13">
        <f t="shared" si="44"/>
        <v>0</v>
      </c>
    </row>
    <row r="417" spans="1:14" x14ac:dyDescent="0.25">
      <c r="A417" s="1365">
        <v>0.99</v>
      </c>
      <c r="B417" s="13">
        <v>0.12949946153696373</v>
      </c>
      <c r="C417" s="13">
        <v>0.1071553376948601</v>
      </c>
      <c r="D417" s="1375">
        <v>0.11310000000000001</v>
      </c>
      <c r="E417" s="1375">
        <v>0.28899999999999998</v>
      </c>
      <c r="F417" s="13">
        <v>0.11310000000000001</v>
      </c>
      <c r="G417" s="13">
        <v>0.28899999999999998</v>
      </c>
      <c r="H417" s="13">
        <v>0.12089999999999999</v>
      </c>
      <c r="I417" s="1366">
        <v>0.14230000000000001</v>
      </c>
      <c r="J417" s="13">
        <v>9.4E-2</v>
      </c>
      <c r="K417" s="13">
        <v>0.10807441632085323</v>
      </c>
      <c r="L417" s="13">
        <v>9.4124770917749803E-2</v>
      </c>
      <c r="M417" s="13">
        <v>8.7045279428524913E-2</v>
      </c>
      <c r="N417" s="13">
        <f t="shared" si="44"/>
        <v>0</v>
      </c>
    </row>
    <row r="418" spans="1:14" x14ac:dyDescent="0.25">
      <c r="A418" s="1365">
        <v>1</v>
      </c>
      <c r="B418" s="13">
        <v>0.17871892647258461</v>
      </c>
      <c r="C418" s="13">
        <v>0.19841051492367284</v>
      </c>
      <c r="D418" s="1375">
        <v>0.1363</v>
      </c>
      <c r="E418" s="1375">
        <v>0.32600000000000001</v>
      </c>
      <c r="F418" s="13">
        <v>0.1363</v>
      </c>
      <c r="G418" s="13">
        <v>0.32600000000000001</v>
      </c>
      <c r="H418" s="13">
        <v>0.14990000000000001</v>
      </c>
      <c r="I418" s="1366">
        <v>0.1449</v>
      </c>
      <c r="J418" s="13">
        <v>0.12</v>
      </c>
      <c r="K418" s="13">
        <v>0.13449091855561235</v>
      </c>
      <c r="L418" s="13">
        <v>0.11093769653409177</v>
      </c>
      <c r="M418" s="13">
        <v>9.3667747469695278E-2</v>
      </c>
      <c r="N418" s="13">
        <f t="shared" si="44"/>
        <v>0</v>
      </c>
    </row>
    <row r="419" spans="1:14" x14ac:dyDescent="0.25">
      <c r="A419" s="1365" t="s">
        <v>1992</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0</v>
      </c>
    </row>
    <row r="420" spans="1:14" x14ac:dyDescent="0.25">
      <c r="A420" s="13" t="s">
        <v>1856</v>
      </c>
      <c r="B420" s="13" t="e">
        <f>AVERAGE('классы ЭЭ и выбросы ПГ'!$Y$45)</f>
        <v>#VALUE!</v>
      </c>
      <c r="C420" s="13" t="e">
        <f>B420</f>
        <v>#VALUE!</v>
      </c>
      <c r="D420" s="13" t="e">
        <f>AVERAGE('классы ЭЭ и выбросы ПГ'!$Z$45:$AA$45)</f>
        <v>#VALUE!</v>
      </c>
      <c r="E420" s="13" t="e">
        <f>D420</f>
        <v>#VALUE!</v>
      </c>
      <c r="F420" s="13" t="e">
        <f>AVERAGE('классы ЭЭ и выбросы ПГ'!$AB$45:$AC$45)</f>
        <v>#VALUE!</v>
      </c>
      <c r="G420" s="13" t="e">
        <f>F420</f>
        <v>#VALUE!</v>
      </c>
      <c r="H420" s="13" t="e">
        <f>AVERAGE('классы ЭЭ и выбросы ПГ'!$AD$45:$AE$45)</f>
        <v>#VALUE!</v>
      </c>
      <c r="I420" s="13" t="e">
        <f>H420</f>
        <v>#VALUE!</v>
      </c>
      <c r="J420" s="13" t="e">
        <f>AVERAGE('классы ЭЭ и выбросы ПГ'!$AF$45:$AG$45)</f>
        <v>#VALUE!</v>
      </c>
      <c r="K420" s="13" t="e">
        <f>J420</f>
        <v>#VALUE!</v>
      </c>
      <c r="L420" s="13" t="e">
        <f>AVERAGE('классы ЭЭ и выбросы ПГ'!$AH$45:$AN$45)</f>
        <v>#VALUE!</v>
      </c>
      <c r="M420" s="13" t="e">
        <f>L420</f>
        <v>#VALUE!</v>
      </c>
      <c r="N420" s="13" t="e">
        <f t="shared" si="44"/>
        <v>#VALUE!</v>
      </c>
    </row>
    <row r="421" spans="1:14" x14ac:dyDescent="0.25">
      <c r="A421" s="13" t="s">
        <v>1855</v>
      </c>
      <c r="B421" s="13" t="e">
        <f t="shared" ref="B421:M421" si="45">0.4*B420</f>
        <v>#VALUE!</v>
      </c>
      <c r="C421" s="13" t="e">
        <f t="shared" si="45"/>
        <v>#VALUE!</v>
      </c>
      <c r="D421" s="13" t="e">
        <f t="shared" si="45"/>
        <v>#VALUE!</v>
      </c>
      <c r="E421" s="13" t="e">
        <f t="shared" si="45"/>
        <v>#VALUE!</v>
      </c>
      <c r="F421" s="13" t="e">
        <f t="shared" si="45"/>
        <v>#VALUE!</v>
      </c>
      <c r="G421" s="13" t="e">
        <f t="shared" si="45"/>
        <v>#VALUE!</v>
      </c>
      <c r="H421" s="13" t="e">
        <f t="shared" si="45"/>
        <v>#VALUE!</v>
      </c>
      <c r="I421" s="13" t="e">
        <f t="shared" si="45"/>
        <v>#VALUE!</v>
      </c>
      <c r="J421" s="13" t="e">
        <f t="shared" si="45"/>
        <v>#VALUE!</v>
      </c>
      <c r="K421" s="13" t="e">
        <f t="shared" si="45"/>
        <v>#VALUE!</v>
      </c>
      <c r="L421" s="13" t="e">
        <f t="shared" si="45"/>
        <v>#VALUE!</v>
      </c>
      <c r="M421" s="13" t="e">
        <f t="shared" si="45"/>
        <v>#VALUE!</v>
      </c>
      <c r="N421" s="13" t="e">
        <f t="shared" si="44"/>
        <v>#VALUE!</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s="13" t="e">
        <f t="shared" ref="B423:M423" si="46">0.4*B420</f>
        <v>#VALUE!</v>
      </c>
      <c r="C423" s="13" t="e">
        <f t="shared" si="46"/>
        <v>#VALUE!</v>
      </c>
      <c r="D423" s="13" t="e">
        <f t="shared" si="46"/>
        <v>#VALUE!</v>
      </c>
      <c r="E423" s="13" t="e">
        <f t="shared" si="46"/>
        <v>#VALUE!</v>
      </c>
      <c r="F423" s="13" t="e">
        <f t="shared" si="46"/>
        <v>#VALUE!</v>
      </c>
      <c r="G423" s="13" t="e">
        <f t="shared" si="46"/>
        <v>#VALUE!</v>
      </c>
      <c r="H423" s="13" t="e">
        <f t="shared" si="46"/>
        <v>#VALUE!</v>
      </c>
      <c r="I423" s="13" t="e">
        <f t="shared" si="46"/>
        <v>#VALUE!</v>
      </c>
      <c r="J423" s="13" t="e">
        <f t="shared" si="46"/>
        <v>#VALUE!</v>
      </c>
      <c r="K423" s="13" t="e">
        <f t="shared" si="46"/>
        <v>#VALUE!</v>
      </c>
      <c r="L423" s="13" t="e">
        <f t="shared" si="46"/>
        <v>#VALUE!</v>
      </c>
      <c r="M423" s="13" t="e">
        <f t="shared" si="46"/>
        <v>#VALUE!</v>
      </c>
      <c r="N423" s="13" t="e">
        <f>($B$106*B423+$C$106*C423+$D$106*D423+$E$106*E423+$F$106*F423+$G$106*G423+$H$106*H423+$I$106*I423+$J$106*J423+$K$106*K423+$L$106*L423+$M$106*M423)*'Рейтинг МКД'!D11</f>
        <v>#VALUE!</v>
      </c>
    </row>
    <row r="424" spans="1:14" x14ac:dyDescent="0.25">
      <c r="A424" s="13" t="s">
        <v>1858</v>
      </c>
      <c r="B424" s="13" t="e">
        <f t="shared" ref="B424:M424" si="47">0.5*B420</f>
        <v>#VALUE!</v>
      </c>
      <c r="C424" s="13" t="e">
        <f t="shared" si="47"/>
        <v>#VALUE!</v>
      </c>
      <c r="D424" s="13" t="e">
        <f t="shared" si="47"/>
        <v>#VALUE!</v>
      </c>
      <c r="E424" s="13" t="e">
        <f t="shared" si="47"/>
        <v>#VALUE!</v>
      </c>
      <c r="F424" s="13" t="e">
        <f t="shared" si="47"/>
        <v>#VALUE!</v>
      </c>
      <c r="G424" s="13" t="e">
        <f t="shared" si="47"/>
        <v>#VALUE!</v>
      </c>
      <c r="H424" s="13" t="e">
        <f t="shared" si="47"/>
        <v>#VALUE!</v>
      </c>
      <c r="I424" s="13" t="e">
        <f t="shared" si="47"/>
        <v>#VALUE!</v>
      </c>
      <c r="J424" s="13" t="e">
        <f t="shared" si="47"/>
        <v>#VALUE!</v>
      </c>
      <c r="K424" s="13" t="e">
        <f t="shared" si="47"/>
        <v>#VALUE!</v>
      </c>
      <c r="L424" s="13" t="e">
        <f t="shared" si="47"/>
        <v>#VALUE!</v>
      </c>
      <c r="M424" s="13" t="e">
        <f t="shared" si="47"/>
        <v>#VALUE!</v>
      </c>
      <c r="N424" s="13" t="e">
        <f>($B$106*B424+$C$106*C424+$D$106*D424+$E$106*E424+$F$106*F424+$G$106*G424+$H$106*H424+$I$106*I424+$J$106*J424+$K$106*K424+$L$106*L424+$M$106*M424)*'Рейтинг МКД'!D11</f>
        <v>#VALUE!</v>
      </c>
    </row>
    <row r="425" spans="1:14" x14ac:dyDescent="0.25">
      <c r="A425" s="13" t="s">
        <v>563</v>
      </c>
      <c r="B425" s="13" t="e">
        <f t="shared" ref="B425:M425" si="48">0.6*B420</f>
        <v>#VALUE!</v>
      </c>
      <c r="C425" s="13" t="e">
        <f t="shared" si="48"/>
        <v>#VALUE!</v>
      </c>
      <c r="D425" s="13" t="e">
        <f t="shared" si="48"/>
        <v>#VALUE!</v>
      </c>
      <c r="E425" s="13" t="e">
        <f t="shared" si="48"/>
        <v>#VALUE!</v>
      </c>
      <c r="F425" s="13" t="e">
        <f t="shared" si="48"/>
        <v>#VALUE!</v>
      </c>
      <c r="G425" s="13" t="e">
        <f t="shared" si="48"/>
        <v>#VALUE!</v>
      </c>
      <c r="H425" s="13" t="e">
        <f t="shared" si="48"/>
        <v>#VALUE!</v>
      </c>
      <c r="I425" s="13" t="e">
        <f t="shared" si="48"/>
        <v>#VALUE!</v>
      </c>
      <c r="J425" s="13" t="e">
        <f t="shared" si="48"/>
        <v>#VALUE!</v>
      </c>
      <c r="K425" s="13" t="e">
        <f t="shared" si="48"/>
        <v>#VALUE!</v>
      </c>
      <c r="L425" s="13" t="e">
        <f t="shared" si="48"/>
        <v>#VALUE!</v>
      </c>
      <c r="M425" s="13" t="e">
        <f t="shared" si="48"/>
        <v>#VALUE!</v>
      </c>
      <c r="N425" s="13" t="e">
        <f>($B$106*B425+$C$106*C425+$D$106*D425+$E$106*E425+$F$106*F425+$G$106*G425+$H$106*H425+$I$106*I425+$J$106*J425+$K$106*K425+$L$106*L425+$M$106*M425)*'Рейтинг МКД'!D11</f>
        <v>#VALUE!</v>
      </c>
    </row>
    <row r="426" spans="1:14" x14ac:dyDescent="0.25">
      <c r="A426" s="13" t="s">
        <v>1789</v>
      </c>
      <c r="B426" s="13" t="e">
        <f t="shared" ref="B426:M426" si="49">0.7*B420</f>
        <v>#VALUE!</v>
      </c>
      <c r="C426" s="13" t="e">
        <f t="shared" si="49"/>
        <v>#VALUE!</v>
      </c>
      <c r="D426" s="13" t="e">
        <f t="shared" si="49"/>
        <v>#VALUE!</v>
      </c>
      <c r="E426" s="13" t="e">
        <f t="shared" si="49"/>
        <v>#VALUE!</v>
      </c>
      <c r="F426" s="13" t="e">
        <f t="shared" si="49"/>
        <v>#VALUE!</v>
      </c>
      <c r="G426" s="13" t="e">
        <f t="shared" si="49"/>
        <v>#VALUE!</v>
      </c>
      <c r="H426" s="13" t="e">
        <f t="shared" si="49"/>
        <v>#VALUE!</v>
      </c>
      <c r="I426" s="13" t="e">
        <f t="shared" si="49"/>
        <v>#VALUE!</v>
      </c>
      <c r="J426" s="13" t="e">
        <f t="shared" si="49"/>
        <v>#VALUE!</v>
      </c>
      <c r="K426" s="13" t="e">
        <f t="shared" si="49"/>
        <v>#VALUE!</v>
      </c>
      <c r="L426" s="13" t="e">
        <f t="shared" si="49"/>
        <v>#VALUE!</v>
      </c>
      <c r="M426" s="13" t="e">
        <f t="shared" si="49"/>
        <v>#VALUE!</v>
      </c>
      <c r="N426" s="13" t="e">
        <f>($B$106*B426+$C$106*C426+$D$106*D426+$E$106*E426+$F$106*F426+$G$106*G426+$H$106*H426+$I$106*I426+$J$106*J426+$K$106*K426+$L$106*L426+$M$106*M426)*'Рейтинг МКД'!D11</f>
        <v>#VALUE!</v>
      </c>
    </row>
    <row r="427" spans="1:14" x14ac:dyDescent="0.25">
      <c r="A427" s="13" t="s">
        <v>1790</v>
      </c>
      <c r="B427" s="13" t="e">
        <f t="shared" ref="B427:M427" si="50">0.85*B420</f>
        <v>#VALUE!</v>
      </c>
      <c r="C427" s="13" t="e">
        <f t="shared" si="50"/>
        <v>#VALUE!</v>
      </c>
      <c r="D427" s="13" t="e">
        <f t="shared" si="50"/>
        <v>#VALUE!</v>
      </c>
      <c r="E427" s="13" t="e">
        <f t="shared" si="50"/>
        <v>#VALUE!</v>
      </c>
      <c r="F427" s="13" t="e">
        <f t="shared" si="50"/>
        <v>#VALUE!</v>
      </c>
      <c r="G427" s="13" t="e">
        <f t="shared" si="50"/>
        <v>#VALUE!</v>
      </c>
      <c r="H427" s="13" t="e">
        <f t="shared" si="50"/>
        <v>#VALUE!</v>
      </c>
      <c r="I427" s="13" t="e">
        <f t="shared" si="50"/>
        <v>#VALUE!</v>
      </c>
      <c r="J427" s="13" t="e">
        <f t="shared" si="50"/>
        <v>#VALUE!</v>
      </c>
      <c r="K427" s="13" t="e">
        <f t="shared" si="50"/>
        <v>#VALUE!</v>
      </c>
      <c r="L427" s="13" t="e">
        <f t="shared" si="50"/>
        <v>#VALUE!</v>
      </c>
      <c r="M427" s="13" t="e">
        <f t="shared" si="50"/>
        <v>#VALUE!</v>
      </c>
      <c r="N427" s="13" t="e">
        <f>($B$106*B427+$C$106*C427+$D$106*D427+$E$106*E427+$F$106*F427+$G$106*G427+$H$106*H427+$I$106*I427+$J$106*J427+$K$106*K427+$L$106*L427+$M$106*M427)*'Рейтинг МКД'!D11</f>
        <v>#VALUE!</v>
      </c>
    </row>
    <row r="428" spans="1:14" x14ac:dyDescent="0.25">
      <c r="A428" s="13" t="s">
        <v>1791</v>
      </c>
      <c r="B428" s="13" t="e">
        <f t="shared" ref="B428:M428" si="51">B420</f>
        <v>#VALUE!</v>
      </c>
      <c r="C428" s="13" t="e">
        <f t="shared" si="51"/>
        <v>#VALUE!</v>
      </c>
      <c r="D428" s="13" t="e">
        <f t="shared" si="51"/>
        <v>#VALUE!</v>
      </c>
      <c r="E428" s="13" t="e">
        <f t="shared" si="51"/>
        <v>#VALUE!</v>
      </c>
      <c r="F428" s="13" t="e">
        <f t="shared" si="51"/>
        <v>#VALUE!</v>
      </c>
      <c r="G428" s="13" t="e">
        <f t="shared" si="51"/>
        <v>#VALUE!</v>
      </c>
      <c r="H428" s="13" t="e">
        <f t="shared" si="51"/>
        <v>#VALUE!</v>
      </c>
      <c r="I428" s="13" t="e">
        <f t="shared" si="51"/>
        <v>#VALUE!</v>
      </c>
      <c r="J428" s="13" t="e">
        <f t="shared" si="51"/>
        <v>#VALUE!</v>
      </c>
      <c r="K428" s="13" t="e">
        <f t="shared" si="51"/>
        <v>#VALUE!</v>
      </c>
      <c r="L428" s="13" t="e">
        <f t="shared" si="51"/>
        <v>#VALUE!</v>
      </c>
      <c r="M428" s="13" t="e">
        <f t="shared" si="51"/>
        <v>#VALUE!</v>
      </c>
      <c r="N428" s="13" t="e">
        <f>($B$106*B428+$C$106*C428+$D$106*D428+$E$106*E428+$F$106*F428+$G$106*G428+$H$106*H428+$I$106*I428+$J$106*J428+$K$106*K428+$L$106*L428+$M$106*M428)*'Рейтинг МКД'!D11</f>
        <v>#VALUE!</v>
      </c>
    </row>
    <row r="429" spans="1:14" x14ac:dyDescent="0.25">
      <c r="A429" s="13" t="s">
        <v>1792</v>
      </c>
      <c r="B429" s="13" t="e">
        <f t="shared" ref="B429:M429" si="52">B420*1.25</f>
        <v>#VALUE!</v>
      </c>
      <c r="C429" s="13" t="e">
        <f t="shared" si="52"/>
        <v>#VALUE!</v>
      </c>
      <c r="D429" s="13" t="e">
        <f t="shared" si="52"/>
        <v>#VALUE!</v>
      </c>
      <c r="E429" s="13" t="e">
        <f t="shared" si="52"/>
        <v>#VALUE!</v>
      </c>
      <c r="F429" s="13" t="e">
        <f t="shared" si="52"/>
        <v>#VALUE!</v>
      </c>
      <c r="G429" s="13" t="e">
        <f t="shared" si="52"/>
        <v>#VALUE!</v>
      </c>
      <c r="H429" s="13" t="e">
        <f t="shared" si="52"/>
        <v>#VALUE!</v>
      </c>
      <c r="I429" s="13" t="e">
        <f t="shared" si="52"/>
        <v>#VALUE!</v>
      </c>
      <c r="J429" s="13" t="e">
        <f t="shared" si="52"/>
        <v>#VALUE!</v>
      </c>
      <c r="K429" s="13" t="e">
        <f t="shared" si="52"/>
        <v>#VALUE!</v>
      </c>
      <c r="L429" s="13" t="e">
        <f t="shared" si="52"/>
        <v>#VALUE!</v>
      </c>
      <c r="M429" s="13" t="e">
        <f t="shared" si="52"/>
        <v>#VALUE!</v>
      </c>
      <c r="N429" s="13" t="e">
        <f>($B$106*B429+$C$106*C429+$D$106*D429+$E$106*E429+$F$106*F429+$G$106*G429+$H$106*H429+$I$106*I429+$J$106*J429+$K$106*K429+$L$106*L429+$M$106*M429)*'Рейтинг МКД'!D11</f>
        <v>#VALUE!</v>
      </c>
    </row>
    <row r="430" spans="1:14" x14ac:dyDescent="0.25">
      <c r="A430" s="13" t="s">
        <v>1793</v>
      </c>
      <c r="B430" s="13" t="e">
        <f t="shared" ref="B430:M430" si="53">B420*1.5</f>
        <v>#VALUE!</v>
      </c>
      <c r="C430" s="13" t="e">
        <f t="shared" si="53"/>
        <v>#VALUE!</v>
      </c>
      <c r="D430" s="13" t="e">
        <f t="shared" si="53"/>
        <v>#VALUE!</v>
      </c>
      <c r="E430" s="13" t="e">
        <f t="shared" si="53"/>
        <v>#VALUE!</v>
      </c>
      <c r="F430" s="13" t="e">
        <f t="shared" si="53"/>
        <v>#VALUE!</v>
      </c>
      <c r="G430" s="13" t="e">
        <f t="shared" si="53"/>
        <v>#VALUE!</v>
      </c>
      <c r="H430" s="13" t="e">
        <f t="shared" si="53"/>
        <v>#VALUE!</v>
      </c>
      <c r="I430" s="13" t="e">
        <f t="shared" si="53"/>
        <v>#VALUE!</v>
      </c>
      <c r="J430" s="13" t="e">
        <f t="shared" si="53"/>
        <v>#VALUE!</v>
      </c>
      <c r="K430" s="13" t="e">
        <f t="shared" si="53"/>
        <v>#VALUE!</v>
      </c>
      <c r="L430" s="13" t="e">
        <f t="shared" si="53"/>
        <v>#VALUE!</v>
      </c>
      <c r="M430" s="13" t="e">
        <f t="shared" si="53"/>
        <v>#VALUE!</v>
      </c>
      <c r="N430" s="13" t="e">
        <f>($B$106*B430+$C$106*C430+$D$106*D430+$E$106*E430+$F$106*F430+$G$106*G430+$H$106*H430+$I$106*I430+$J$106*J430+$K$106*K430+$L$106*L430+$M$106*M430)*'Рейтинг МКД'!D11</f>
        <v>#VALUE!</v>
      </c>
    </row>
    <row r="431" spans="1:14" x14ac:dyDescent="0.25">
      <c r="A431" s="13" t="s">
        <v>1794</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97" t="s">
        <v>2081</v>
      </c>
      <c r="B2" s="2597"/>
      <c r="C2" s="2597"/>
      <c r="D2" s="2597"/>
      <c r="E2" s="2597"/>
      <c r="F2" s="2597"/>
    </row>
    <row r="3" spans="1:17" ht="22.5" customHeight="1" x14ac:dyDescent="0.25">
      <c r="A3" s="2604" t="s">
        <v>2082</v>
      </c>
      <c r="B3" s="2605" t="s">
        <v>2033</v>
      </c>
      <c r="C3" s="2605" t="s">
        <v>2029</v>
      </c>
      <c r="D3" s="2606" t="s">
        <v>2102</v>
      </c>
      <c r="E3" s="2606"/>
      <c r="F3" s="2606"/>
      <c r="G3" s="1432"/>
      <c r="H3" s="1432"/>
      <c r="I3" s="1432"/>
      <c r="J3" s="1432"/>
      <c r="K3" s="1432"/>
      <c r="L3" s="1432"/>
      <c r="M3" s="1432"/>
      <c r="N3" s="1432"/>
      <c r="O3" s="1432"/>
      <c r="P3" s="1432"/>
      <c r="Q3" s="1432"/>
    </row>
    <row r="4" spans="1:17" ht="19.5" customHeight="1" x14ac:dyDescent="0.25">
      <c r="A4" s="2604"/>
      <c r="B4" s="2605"/>
      <c r="C4" s="2605"/>
      <c r="D4" s="1436" t="s">
        <v>2030</v>
      </c>
      <c r="E4" s="1435" t="s">
        <v>2031</v>
      </c>
      <c r="F4" s="1442" t="s">
        <v>2032</v>
      </c>
      <c r="G4" s="1432"/>
      <c r="H4" s="1432"/>
      <c r="I4" s="1432"/>
      <c r="J4" s="1432"/>
      <c r="K4" s="1432"/>
      <c r="L4" s="1432"/>
      <c r="M4" s="1432"/>
      <c r="N4" s="1432"/>
      <c r="O4" s="1432"/>
      <c r="P4" s="1432"/>
      <c r="Q4" s="1432"/>
    </row>
    <row r="5" spans="1:17" s="13" customFormat="1" ht="12.95" customHeight="1" x14ac:dyDescent="0.25">
      <c r="A5" s="1438">
        <f>600</f>
        <v>600</v>
      </c>
      <c r="B5" s="1436">
        <f>8</f>
        <v>8</v>
      </c>
      <c r="C5" s="1436">
        <f>6</f>
        <v>6</v>
      </c>
      <c r="D5" s="1436"/>
      <c r="E5" s="1435"/>
      <c r="F5" s="1436"/>
      <c r="G5" s="1432"/>
      <c r="H5" s="1432"/>
      <c r="I5" s="1432"/>
      <c r="J5" s="1432"/>
      <c r="K5" s="1432"/>
      <c r="L5" s="1432"/>
      <c r="M5" s="1432"/>
      <c r="N5" s="1432"/>
      <c r="O5" s="1432"/>
      <c r="P5" s="1432"/>
      <c r="Q5" s="1432"/>
    </row>
    <row r="6" spans="1:17" s="13" customFormat="1" ht="14.45" customHeight="1" x14ac:dyDescent="0.25">
      <c r="A6" s="1438">
        <f>700</f>
        <v>700</v>
      </c>
      <c r="B6" s="1436">
        <f>7</f>
        <v>7</v>
      </c>
      <c r="C6" s="1436">
        <f>7</f>
        <v>7</v>
      </c>
      <c r="D6" s="1436"/>
      <c r="E6" s="1435"/>
      <c r="F6" s="1434"/>
      <c r="G6" s="1432"/>
      <c r="H6" s="1432"/>
      <c r="I6" s="1432"/>
      <c r="J6" s="1432"/>
      <c r="K6" s="1432"/>
      <c r="L6" s="1432"/>
      <c r="M6" s="1432"/>
      <c r="N6" s="1432"/>
      <c r="O6" s="1432"/>
      <c r="P6" s="1432"/>
      <c r="Q6" s="1432"/>
    </row>
    <row r="7" spans="1:17" x14ac:dyDescent="0.25">
      <c r="A7" s="1435">
        <f>1000</f>
        <v>1000</v>
      </c>
      <c r="B7" s="1435">
        <f>15</f>
        <v>15</v>
      </c>
      <c r="C7" s="1435">
        <f>5</f>
        <v>5</v>
      </c>
      <c r="D7" s="1437">
        <f>1000</f>
        <v>1000</v>
      </c>
      <c r="E7" s="1437">
        <f>600</f>
        <v>600</v>
      </c>
      <c r="F7" s="1437">
        <f>400</f>
        <v>400</v>
      </c>
      <c r="G7" s="1432"/>
      <c r="H7" s="1432"/>
      <c r="I7" s="1432"/>
      <c r="J7" s="1432"/>
      <c r="K7" s="1432"/>
      <c r="L7" s="1432"/>
      <c r="M7" s="1432"/>
      <c r="N7" s="1432"/>
      <c r="O7" s="1432"/>
      <c r="P7" s="1432"/>
      <c r="Q7" s="1432"/>
    </row>
    <row r="8" spans="1:17" s="13" customFormat="1" x14ac:dyDescent="0.25">
      <c r="A8" s="1435">
        <f>1200</f>
        <v>1200</v>
      </c>
      <c r="B8" s="1435">
        <f>12</f>
        <v>12</v>
      </c>
      <c r="C8" s="1435">
        <f>6</f>
        <v>6</v>
      </c>
      <c r="D8" s="1437">
        <f>1200</f>
        <v>1200</v>
      </c>
      <c r="E8" s="1437">
        <f>700</f>
        <v>700</v>
      </c>
      <c r="F8" s="1437">
        <f>500</f>
        <v>500</v>
      </c>
      <c r="G8" s="1432"/>
      <c r="H8" s="1432"/>
      <c r="I8" s="1432"/>
      <c r="J8" s="1432"/>
      <c r="K8" s="1432"/>
      <c r="L8" s="1432"/>
      <c r="M8" s="1432"/>
      <c r="N8" s="1432"/>
      <c r="O8" s="1432"/>
      <c r="P8" s="1432"/>
      <c r="Q8" s="1432"/>
    </row>
    <row r="9" spans="1:17" x14ac:dyDescent="0.25">
      <c r="A9" s="1435">
        <f>1500</f>
        <v>1500</v>
      </c>
      <c r="B9" s="1435">
        <f>20</f>
        <v>20</v>
      </c>
      <c r="C9" s="1435">
        <f>7</f>
        <v>7</v>
      </c>
      <c r="D9" s="1437">
        <f>1500</f>
        <v>1500</v>
      </c>
      <c r="E9" s="1437">
        <f>900</f>
        <v>900</v>
      </c>
      <c r="F9" s="1437">
        <f>600</f>
        <v>600</v>
      </c>
      <c r="G9" s="1432"/>
      <c r="H9" s="1432"/>
      <c r="I9" s="1432"/>
      <c r="J9" s="1432"/>
      <c r="K9" s="1432"/>
      <c r="L9" s="1432"/>
      <c r="M9" s="1432"/>
      <c r="N9" s="1432"/>
      <c r="O9" s="1432"/>
      <c r="P9" s="1432"/>
      <c r="Q9" s="1432"/>
    </row>
    <row r="10" spans="1:17" s="13" customFormat="1" x14ac:dyDescent="0.25">
      <c r="A10" s="1435">
        <f>1800</f>
        <v>1800</v>
      </c>
      <c r="B10" s="1435">
        <f>20</f>
        <v>20</v>
      </c>
      <c r="C10" s="1435">
        <f>7</f>
        <v>7</v>
      </c>
      <c r="D10" s="1437">
        <f>1800</f>
        <v>1800</v>
      </c>
      <c r="E10" s="1437">
        <f>900</f>
        <v>900</v>
      </c>
      <c r="F10" s="1437">
        <f>600</f>
        <v>600</v>
      </c>
      <c r="G10" s="1432"/>
      <c r="H10" s="1432"/>
      <c r="I10" s="1432"/>
      <c r="J10" s="1432"/>
      <c r="K10" s="1432"/>
      <c r="L10" s="1432"/>
      <c r="M10" s="1432"/>
      <c r="N10" s="1432"/>
      <c r="O10" s="1432"/>
      <c r="P10" s="1432"/>
      <c r="Q10" s="1432"/>
    </row>
    <row r="11" spans="1:17" s="13" customFormat="1" x14ac:dyDescent="0.25">
      <c r="A11" s="1435">
        <f>1900</f>
        <v>1900</v>
      </c>
      <c r="B11" s="1435">
        <f>20</f>
        <v>20</v>
      </c>
      <c r="C11" s="1435">
        <f>7</f>
        <v>7</v>
      </c>
      <c r="D11" s="1437"/>
      <c r="E11" s="1437"/>
      <c r="F11" s="1437"/>
      <c r="G11" s="1432"/>
      <c r="H11" s="1432"/>
      <c r="I11" s="1432"/>
      <c r="J11" s="1432"/>
      <c r="K11" s="1432"/>
      <c r="L11" s="1432"/>
      <c r="M11" s="1432"/>
      <c r="N11" s="1432"/>
      <c r="O11" s="1432"/>
      <c r="P11" s="1432"/>
      <c r="Q11" s="1432"/>
    </row>
    <row r="12" spans="1:17" x14ac:dyDescent="0.25">
      <c r="A12" s="1435">
        <f>2000</f>
        <v>2000</v>
      </c>
      <c r="B12" s="1435">
        <f>25</f>
        <v>25</v>
      </c>
      <c r="C12" s="1435">
        <f>9</f>
        <v>9</v>
      </c>
      <c r="D12" s="1437">
        <f>2000</f>
        <v>2000</v>
      </c>
      <c r="E12" s="1437">
        <f>1200</f>
        <v>1200</v>
      </c>
      <c r="F12" s="1437">
        <f>800</f>
        <v>800</v>
      </c>
      <c r="G12" s="1432"/>
      <c r="H12" s="1432"/>
      <c r="I12" s="1432"/>
      <c r="J12" s="1432"/>
      <c r="K12" s="1432"/>
      <c r="L12" s="1432"/>
      <c r="M12" s="1432"/>
      <c r="N12" s="1432"/>
      <c r="O12" s="1432"/>
      <c r="P12" s="1432"/>
      <c r="Q12" s="1432"/>
    </row>
    <row r="13" spans="1:17" x14ac:dyDescent="0.25">
      <c r="A13" s="1435">
        <f>2200</f>
        <v>2200</v>
      </c>
      <c r="B13" s="1435">
        <f>27</f>
        <v>27</v>
      </c>
      <c r="C13" s="1435">
        <f>11</f>
        <v>11</v>
      </c>
      <c r="D13" s="1437">
        <f>2200</f>
        <v>2200</v>
      </c>
      <c r="E13" s="1437">
        <f>1200</f>
        <v>1200</v>
      </c>
      <c r="F13" s="1437">
        <f>1000</f>
        <v>1000</v>
      </c>
      <c r="G13" s="1432"/>
      <c r="H13" s="1432"/>
      <c r="I13" s="1432"/>
      <c r="J13" s="1432"/>
      <c r="K13" s="1432"/>
      <c r="L13" s="1432"/>
      <c r="M13" s="1432"/>
      <c r="N13" s="1432"/>
      <c r="O13" s="1432"/>
      <c r="P13" s="1432"/>
      <c r="Q13" s="1432"/>
    </row>
    <row r="14" spans="1:17" s="13" customFormat="1" x14ac:dyDescent="0.25">
      <c r="A14" s="1435">
        <f>2300</f>
        <v>2300</v>
      </c>
      <c r="B14" s="1435">
        <f>27</f>
        <v>27</v>
      </c>
      <c r="C14" s="1435">
        <f>11</f>
        <v>11</v>
      </c>
      <c r="D14" s="1437"/>
      <c r="E14" s="1437"/>
      <c r="F14" s="1437"/>
      <c r="G14" s="1432"/>
      <c r="H14" s="1432"/>
      <c r="I14" s="1432"/>
      <c r="J14" s="1432"/>
      <c r="K14" s="1432"/>
      <c r="L14" s="1432"/>
      <c r="M14" s="1432"/>
      <c r="N14" s="1432"/>
      <c r="O14" s="1432"/>
      <c r="P14" s="1432"/>
      <c r="Q14" s="1432"/>
    </row>
    <row r="15" spans="1:17" x14ac:dyDescent="0.25">
      <c r="A15" s="1435">
        <f>2400</f>
        <v>2400</v>
      </c>
      <c r="B15" s="1435">
        <f>29</f>
        <v>29</v>
      </c>
      <c r="C15" s="1435">
        <f>9</f>
        <v>9</v>
      </c>
      <c r="D15" s="1433"/>
      <c r="E15" s="1433"/>
      <c r="F15" s="1433"/>
      <c r="G15" s="1432"/>
      <c r="H15" s="1432"/>
      <c r="I15" s="1432"/>
      <c r="J15" s="1432"/>
      <c r="K15" s="1432"/>
      <c r="L15" s="1432"/>
      <c r="M15" s="1432"/>
      <c r="N15" s="1432"/>
      <c r="O15" s="1432"/>
      <c r="P15" s="1432"/>
      <c r="Q15" s="1432"/>
    </row>
    <row r="16" spans="1:17" s="13" customFormat="1" x14ac:dyDescent="0.25">
      <c r="A16" s="1435">
        <f>2500</f>
        <v>2500</v>
      </c>
      <c r="B16" s="1435">
        <f>25</f>
        <v>25</v>
      </c>
      <c r="C16" s="1435">
        <f>12</f>
        <v>12</v>
      </c>
      <c r="D16" s="1433"/>
      <c r="E16" s="1433"/>
      <c r="F16" s="1433"/>
      <c r="G16" s="1432"/>
      <c r="H16" s="1432"/>
      <c r="I16" s="1432"/>
      <c r="J16" s="1432"/>
      <c r="K16" s="1432"/>
      <c r="L16" s="1432"/>
      <c r="M16" s="1432"/>
      <c r="N16" s="1432"/>
      <c r="O16" s="1432"/>
      <c r="P16" s="1432"/>
      <c r="Q16" s="1432"/>
    </row>
    <row r="17" spans="1:17" x14ac:dyDescent="0.25">
      <c r="A17" s="1435">
        <f>2900</f>
        <v>2900</v>
      </c>
      <c r="B17" s="1435">
        <f>28</f>
        <v>28</v>
      </c>
      <c r="C17" s="1435">
        <f>12</f>
        <v>12</v>
      </c>
      <c r="D17" s="1433"/>
      <c r="E17" s="1433"/>
      <c r="F17" s="1433"/>
      <c r="G17" s="1432"/>
      <c r="H17" s="1432"/>
      <c r="I17" s="1432"/>
      <c r="J17" s="1432"/>
      <c r="K17" s="1432"/>
      <c r="L17" s="1432"/>
      <c r="M17" s="1432"/>
      <c r="N17" s="1432"/>
      <c r="O17" s="1432"/>
      <c r="P17" s="1432"/>
      <c r="Q17" s="1432"/>
    </row>
    <row r="18" spans="1:17" s="13" customFormat="1" x14ac:dyDescent="0.25">
      <c r="A18" s="1444"/>
      <c r="B18" s="1444"/>
      <c r="C18" s="1444"/>
      <c r="D18" s="1462"/>
      <c r="E18" s="1462"/>
      <c r="F18" s="1462"/>
      <c r="G18" s="1432"/>
      <c r="H18" s="1432"/>
      <c r="I18" s="1432"/>
      <c r="J18" s="1432"/>
      <c r="K18" s="1432"/>
      <c r="L18" s="1432"/>
      <c r="M18" s="1432"/>
      <c r="N18" s="1432"/>
      <c r="O18" s="1432"/>
      <c r="P18" s="1432"/>
      <c r="Q18" s="1432"/>
    </row>
    <row r="19" spans="1:17" x14ac:dyDescent="0.25">
      <c r="A19" s="1432"/>
      <c r="B19" s="1432"/>
      <c r="C19" s="1432"/>
      <c r="D19" s="1432"/>
      <c r="E19" s="1432"/>
      <c r="F19" s="1432"/>
      <c r="G19" s="1432"/>
      <c r="H19" s="1432"/>
      <c r="I19" s="1432"/>
      <c r="J19" s="1432"/>
      <c r="K19" s="1432"/>
      <c r="L19" s="1432"/>
      <c r="M19" s="1432"/>
      <c r="N19" s="1432"/>
      <c r="O19" s="1432"/>
      <c r="P19" s="1432"/>
      <c r="Q19" s="1432"/>
    </row>
    <row r="20" spans="1:17" ht="15.75" x14ac:dyDescent="0.25">
      <c r="A20" s="2597" t="s">
        <v>2083</v>
      </c>
      <c r="B20" s="2597"/>
      <c r="C20" s="2597"/>
      <c r="D20" s="2597"/>
      <c r="E20" s="2597"/>
      <c r="F20" s="2597"/>
      <c r="G20" s="1432"/>
      <c r="H20" s="1432"/>
      <c r="I20" s="1432"/>
      <c r="J20" s="1432"/>
      <c r="K20" s="1432"/>
      <c r="L20" s="1432"/>
      <c r="M20" s="1432"/>
      <c r="N20" s="1432"/>
      <c r="O20" s="1432"/>
      <c r="P20" s="1432"/>
      <c r="Q20" s="1432"/>
    </row>
    <row r="21" spans="1:17" x14ac:dyDescent="0.25">
      <c r="A21" s="1439" t="s">
        <v>829</v>
      </c>
      <c r="B21" s="1440" t="s">
        <v>1157</v>
      </c>
      <c r="C21" s="1440" t="s">
        <v>862</v>
      </c>
      <c r="D21" s="2607" t="s">
        <v>863</v>
      </c>
      <c r="E21" s="2608"/>
      <c r="F21" s="2609"/>
      <c r="G21" s="1432"/>
      <c r="H21" s="1432"/>
      <c r="I21" s="1432"/>
      <c r="J21" s="1432"/>
      <c r="K21" s="1432"/>
      <c r="L21" s="1432"/>
      <c r="M21" s="1432"/>
      <c r="N21" s="1432"/>
      <c r="O21" s="1432"/>
      <c r="P21" s="1432"/>
      <c r="Q21" s="1432"/>
    </row>
    <row r="22" spans="1:17" s="13" customFormat="1" ht="14.45" customHeight="1" x14ac:dyDescent="0.25">
      <c r="A22" s="2601" t="s">
        <v>2045</v>
      </c>
      <c r="B22" s="2602"/>
      <c r="C22" s="2602"/>
      <c r="D22" s="2602"/>
      <c r="E22" s="2602"/>
      <c r="F22" s="2603"/>
      <c r="G22" s="1432"/>
      <c r="H22" s="1432"/>
      <c r="I22" s="1432"/>
      <c r="J22" s="1432"/>
      <c r="K22" s="1432"/>
      <c r="L22" s="1432"/>
      <c r="M22" s="1432"/>
      <c r="N22" s="1432"/>
      <c r="O22" s="1432"/>
      <c r="P22" s="1432"/>
      <c r="Q22" s="1432"/>
    </row>
    <row r="23" spans="1:17" s="13" customFormat="1" ht="30" customHeight="1" x14ac:dyDescent="0.25">
      <c r="A23" s="1445" t="s">
        <v>2095</v>
      </c>
      <c r="B23" s="1435" t="s">
        <v>2034</v>
      </c>
      <c r="C23" s="1435">
        <f>списки!C56</f>
        <v>20</v>
      </c>
      <c r="D23" s="1490"/>
      <c r="E23" s="1491"/>
      <c r="F23" s="1451"/>
      <c r="G23" s="1432"/>
      <c r="H23" s="1432"/>
      <c r="I23" s="1432"/>
      <c r="J23" s="1432"/>
      <c r="K23" s="1432"/>
      <c r="L23" s="1432"/>
      <c r="M23" s="1432"/>
      <c r="N23" s="1432"/>
      <c r="O23" s="1432"/>
      <c r="P23" s="1432"/>
      <c r="Q23" s="1432"/>
    </row>
    <row r="24" spans="1:17" s="13" customFormat="1" ht="43.5" customHeight="1" x14ac:dyDescent="0.25">
      <c r="A24" s="1445" t="s">
        <v>2073</v>
      </c>
      <c r="B24" s="1435" t="s">
        <v>2034</v>
      </c>
      <c r="C24" s="1456">
        <f ca="1">'Ввод исходных данных'!E285</f>
        <v>-3.6151898734177212</v>
      </c>
      <c r="D24" s="1490"/>
      <c r="E24" s="1491"/>
      <c r="F24" s="1451"/>
      <c r="G24" s="1432"/>
      <c r="H24" s="1432"/>
      <c r="I24" s="1432"/>
      <c r="J24" s="1432"/>
      <c r="K24" s="1432"/>
      <c r="L24" s="1432"/>
      <c r="M24" s="1432"/>
      <c r="N24" s="1432"/>
      <c r="O24" s="1432"/>
      <c r="P24" s="1432"/>
      <c r="Q24" s="1432"/>
    </row>
    <row r="25" spans="1:17" s="13" customFormat="1" ht="28.5" customHeight="1" x14ac:dyDescent="0.25">
      <c r="A25" s="1446" t="s">
        <v>2074</v>
      </c>
      <c r="B25" s="1448" t="s">
        <v>2035</v>
      </c>
      <c r="C25" s="1508">
        <f ca="1">'Ввод исходных данных'!D209</f>
        <v>237</v>
      </c>
      <c r="D25" s="1482"/>
      <c r="E25" s="1483"/>
      <c r="F25" s="1484"/>
      <c r="G25" s="1432"/>
      <c r="H25" s="1432"/>
      <c r="I25" s="1432"/>
      <c r="J25" s="1432"/>
      <c r="K25" s="1432"/>
      <c r="L25" s="1432"/>
      <c r="M25" s="1432"/>
      <c r="N25" s="1432"/>
      <c r="O25" s="1432"/>
      <c r="P25" s="1432"/>
      <c r="Q25" s="1432"/>
    </row>
    <row r="26" spans="1:17" s="13" customFormat="1" x14ac:dyDescent="0.25">
      <c r="A26" s="1447" t="s">
        <v>868</v>
      </c>
      <c r="B26" s="1449" t="s">
        <v>2036</v>
      </c>
      <c r="C26" s="1449">
        <f ca="1">C25*24</f>
        <v>5688</v>
      </c>
      <c r="D26" s="1487"/>
      <c r="E26" s="1488"/>
      <c r="F26" s="1489"/>
      <c r="G26" s="1432"/>
      <c r="H26" s="1432"/>
      <c r="I26" s="1432"/>
      <c r="J26" s="1432"/>
      <c r="K26" s="1432"/>
      <c r="L26" s="1432"/>
      <c r="M26" s="1432"/>
      <c r="N26" s="1432"/>
      <c r="O26" s="1432"/>
      <c r="P26" s="1432"/>
      <c r="Q26" s="1432"/>
    </row>
    <row r="27" spans="1:17" s="13" customFormat="1" ht="32.1" customHeight="1" x14ac:dyDescent="0.25">
      <c r="A27" s="1445" t="s">
        <v>2037</v>
      </c>
      <c r="B27" s="1435" t="s">
        <v>2034</v>
      </c>
      <c r="C27" s="1435">
        <f>Климатология!G2</f>
        <v>-35</v>
      </c>
      <c r="D27" s="1490"/>
      <c r="E27" s="1491"/>
      <c r="F27" s="1451"/>
      <c r="G27" s="1432"/>
      <c r="H27" s="1432"/>
      <c r="I27" s="1432"/>
      <c r="J27" s="1432"/>
      <c r="K27" s="1432"/>
      <c r="L27" s="1432"/>
      <c r="M27" s="1432"/>
      <c r="N27" s="1432"/>
      <c r="O27" s="1432"/>
      <c r="P27" s="1432"/>
      <c r="Q27" s="1432"/>
    </row>
    <row r="28" spans="1:17" x14ac:dyDescent="0.25">
      <c r="A28" s="1433" t="s">
        <v>2038</v>
      </c>
      <c r="B28" s="1435" t="s">
        <v>505</v>
      </c>
      <c r="C28" s="1435">
        <f>1.205</f>
        <v>1.2050000000000001</v>
      </c>
      <c r="D28" s="1490"/>
      <c r="E28" s="1491"/>
      <c r="F28" s="1451"/>
      <c r="G28" s="1432"/>
      <c r="H28" s="1432"/>
      <c r="I28" s="1432"/>
      <c r="J28" s="1432"/>
      <c r="K28" s="1432"/>
      <c r="L28" s="1432"/>
      <c r="M28" s="1432"/>
      <c r="N28" s="1432"/>
      <c r="O28" s="1432"/>
      <c r="P28" s="1432"/>
      <c r="Q28" s="1432"/>
    </row>
    <row r="29" spans="1:17" ht="15.75" x14ac:dyDescent="0.25">
      <c r="A29" s="1453" t="s">
        <v>2039</v>
      </c>
      <c r="B29" s="1448" t="s">
        <v>2040</v>
      </c>
      <c r="C29" s="1448">
        <f>0.24</f>
        <v>0.24</v>
      </c>
      <c r="D29" s="1482"/>
      <c r="E29" s="1483"/>
      <c r="F29" s="1484"/>
      <c r="G29" s="1432"/>
      <c r="H29" s="1432"/>
      <c r="I29" s="1432"/>
      <c r="J29" s="1432"/>
      <c r="K29" s="1432"/>
      <c r="L29" s="1432"/>
      <c r="M29" s="1432"/>
      <c r="N29" s="1432"/>
      <c r="O29" s="1432"/>
      <c r="P29" s="1432"/>
      <c r="Q29" s="1432"/>
    </row>
    <row r="30" spans="1:17" ht="15.75" x14ac:dyDescent="0.25">
      <c r="A30" s="1454" t="s">
        <v>868</v>
      </c>
      <c r="B30" s="1449" t="s">
        <v>2041</v>
      </c>
      <c r="C30" s="1455">
        <f>C29*4.187</f>
        <v>1.00488</v>
      </c>
      <c r="D30" s="1487"/>
      <c r="E30" s="1488"/>
      <c r="F30" s="1489"/>
      <c r="G30" s="1432"/>
      <c r="H30" s="1432"/>
      <c r="I30" s="1432"/>
      <c r="J30" s="1432"/>
      <c r="K30" s="1432"/>
      <c r="L30" s="1432"/>
      <c r="M30" s="1432"/>
      <c r="N30" s="1432"/>
      <c r="O30" s="1432"/>
      <c r="P30" s="1432"/>
      <c r="Q30" s="1432"/>
    </row>
    <row r="31" spans="1:17" x14ac:dyDescent="0.25">
      <c r="A31" s="1433" t="s">
        <v>2042</v>
      </c>
      <c r="B31" s="1435" t="s">
        <v>853</v>
      </c>
      <c r="C31" s="1435">
        <f>'Ввод исходных данных'!D20</f>
        <v>87</v>
      </c>
      <c r="D31" s="1490"/>
      <c r="E31" s="1491"/>
      <c r="F31" s="1451"/>
      <c r="G31" s="1432"/>
      <c r="H31" s="1432"/>
      <c r="I31" s="1432"/>
      <c r="J31" s="1432"/>
      <c r="K31" s="1432"/>
      <c r="L31" s="1432"/>
      <c r="M31" s="1432"/>
      <c r="N31" s="1432"/>
      <c r="O31" s="1432"/>
      <c r="P31" s="1432"/>
      <c r="Q31" s="1432"/>
    </row>
    <row r="32" spans="1:17" ht="15.75" x14ac:dyDescent="0.25">
      <c r="A32" s="1433" t="s">
        <v>2000</v>
      </c>
      <c r="B32" s="1435" t="s">
        <v>2043</v>
      </c>
      <c r="C32" s="1435">
        <f>'Ввод исходных данных'!D56</f>
        <v>4330.1000000000004</v>
      </c>
      <c r="D32" s="1490"/>
      <c r="E32" s="1491"/>
      <c r="F32" s="1451"/>
      <c r="G32" s="1432"/>
      <c r="H32" s="1432"/>
      <c r="I32" s="1432"/>
      <c r="J32" s="1432"/>
      <c r="K32" s="1432"/>
      <c r="L32" s="1432"/>
      <c r="M32" s="1432"/>
      <c r="N32" s="1432"/>
      <c r="O32" s="1432"/>
      <c r="P32" s="1432"/>
      <c r="Q32" s="1432"/>
    </row>
    <row r="33" spans="1:17" ht="15.75" x14ac:dyDescent="0.25">
      <c r="A33" s="1434" t="s">
        <v>2044</v>
      </c>
      <c r="B33" s="1435" t="s">
        <v>2043</v>
      </c>
      <c r="C33" s="1435">
        <f>C32/C31</f>
        <v>49.771264367816094</v>
      </c>
      <c r="D33" s="1490"/>
      <c r="E33" s="1491"/>
      <c r="F33" s="1451"/>
      <c r="G33" s="1432"/>
      <c r="H33" s="1432"/>
      <c r="I33" s="1432"/>
      <c r="J33" s="1432"/>
      <c r="K33" s="1432"/>
      <c r="L33" s="1432"/>
      <c r="M33" s="1432"/>
      <c r="N33" s="1432"/>
      <c r="O33" s="1432"/>
      <c r="P33" s="1432"/>
      <c r="Q33" s="1432"/>
    </row>
    <row r="34" spans="1:17" s="13" customFormat="1" ht="22.5" customHeight="1" x14ac:dyDescent="0.25">
      <c r="A34" s="1434" t="s">
        <v>816</v>
      </c>
      <c r="B34" s="1443" t="s">
        <v>853</v>
      </c>
      <c r="C34" s="1435">
        <f>'Ввод исходных данных'!D63</f>
        <v>284</v>
      </c>
      <c r="D34" s="2598"/>
      <c r="E34" s="2599"/>
      <c r="F34" s="2600"/>
      <c r="G34" s="1432"/>
      <c r="H34" s="1432"/>
      <c r="I34" s="1432"/>
      <c r="J34" s="1432"/>
      <c r="K34" s="1432"/>
      <c r="L34" s="1432"/>
      <c r="M34" s="1432"/>
      <c r="N34" s="1432"/>
      <c r="O34" s="1432"/>
      <c r="P34" s="1432"/>
      <c r="Q34" s="1432"/>
    </row>
    <row r="35" spans="1:17" s="13" customFormat="1" ht="33.950000000000003" customHeight="1" x14ac:dyDescent="0.25">
      <c r="A35" s="1434" t="s">
        <v>2119</v>
      </c>
      <c r="B35" s="1505" t="s">
        <v>853</v>
      </c>
      <c r="C35" s="1452">
        <f>C34/C31</f>
        <v>3.264367816091954</v>
      </c>
      <c r="D35" s="1509"/>
      <c r="E35" s="1510"/>
      <c r="F35" s="1511"/>
      <c r="G35" s="1432"/>
      <c r="H35" s="1432"/>
      <c r="I35" s="1432"/>
      <c r="J35" s="1432"/>
      <c r="K35" s="1432"/>
      <c r="L35" s="1432"/>
      <c r="M35" s="1432"/>
      <c r="N35" s="1432"/>
      <c r="O35" s="1432"/>
      <c r="P35" s="1432"/>
      <c r="Q35" s="1432"/>
    </row>
    <row r="36" spans="1:17" s="13" customFormat="1" x14ac:dyDescent="0.25">
      <c r="A36" s="1434" t="s">
        <v>2049</v>
      </c>
      <c r="B36" s="1435" t="s">
        <v>2050</v>
      </c>
      <c r="C36" s="1435">
        <f>'Ввод исходных данных'!D22</f>
        <v>246</v>
      </c>
      <c r="D36" s="1490"/>
      <c r="E36" s="1491"/>
      <c r="F36" s="1451"/>
      <c r="G36" s="1432"/>
      <c r="H36" s="1432"/>
      <c r="I36" s="1432"/>
      <c r="J36" s="1432"/>
      <c r="K36" s="1432"/>
      <c r="L36" s="1432"/>
      <c r="M36" s="1432"/>
      <c r="N36" s="1432"/>
      <c r="O36" s="1432"/>
      <c r="P36" s="1432"/>
      <c r="Q36" s="1432"/>
    </row>
    <row r="37" spans="1:17" s="13" customFormat="1" ht="33" customHeight="1" x14ac:dyDescent="0.25">
      <c r="A37" s="1434" t="s">
        <v>2056</v>
      </c>
      <c r="B37" s="1435" t="s">
        <v>2051</v>
      </c>
      <c r="C37" s="1452">
        <f>C36/C31</f>
        <v>2.8275862068965516</v>
      </c>
      <c r="D37" s="1490"/>
      <c r="E37" s="1491"/>
      <c r="F37" s="1451"/>
      <c r="G37" s="1432"/>
      <c r="H37" s="1432"/>
      <c r="I37" s="1432"/>
      <c r="J37" s="1432"/>
      <c r="K37" s="1432"/>
      <c r="L37" s="1432"/>
      <c r="M37" s="1432"/>
      <c r="N37" s="1432"/>
      <c r="O37" s="1432"/>
      <c r="P37" s="1432"/>
      <c r="Q37" s="1432"/>
    </row>
    <row r="38" spans="1:17" s="13" customFormat="1" ht="23.1" customHeight="1" x14ac:dyDescent="0.25">
      <c r="A38" s="1434" t="s">
        <v>2052</v>
      </c>
      <c r="B38" s="1435" t="s">
        <v>2053</v>
      </c>
      <c r="C38" s="1456">
        <f>C33/C37</f>
        <v>17.602032520325206</v>
      </c>
      <c r="D38" s="1490"/>
      <c r="E38" s="1491"/>
      <c r="F38" s="1451"/>
      <c r="G38" s="1432"/>
      <c r="H38" s="1432"/>
      <c r="I38" s="1432"/>
      <c r="J38" s="1432"/>
      <c r="K38" s="1432"/>
      <c r="L38" s="1432"/>
      <c r="M38" s="1432"/>
      <c r="N38" s="1432"/>
      <c r="O38" s="1432"/>
      <c r="P38" s="1432"/>
      <c r="Q38" s="1432"/>
    </row>
    <row r="39" spans="1:17" ht="29.1" customHeight="1" x14ac:dyDescent="0.25">
      <c r="A39" s="1434" t="s">
        <v>2046</v>
      </c>
      <c r="B39" s="1435" t="s">
        <v>1524</v>
      </c>
      <c r="C39" s="1456">
        <f>'Расчет базового уровня'!F146</f>
        <v>218.51988098286472</v>
      </c>
      <c r="D39" s="1490"/>
      <c r="E39" s="1491"/>
      <c r="F39" s="1451"/>
      <c r="G39" s="1432"/>
      <c r="H39" s="1432"/>
      <c r="I39" s="1432"/>
      <c r="J39" s="1432"/>
      <c r="K39" s="1432"/>
      <c r="L39" s="1432"/>
      <c r="M39" s="1432"/>
      <c r="N39" s="1432"/>
      <c r="O39" s="1432"/>
      <c r="P39" s="1432"/>
      <c r="Q39" s="1432"/>
    </row>
    <row r="40" spans="1:17" ht="42.95" customHeight="1" x14ac:dyDescent="0.25">
      <c r="A40" s="1457" t="s">
        <v>2047</v>
      </c>
      <c r="B40" s="1453"/>
      <c r="C40" s="1453"/>
      <c r="D40" s="1482"/>
      <c r="E40" s="1483"/>
      <c r="F40" s="1484"/>
      <c r="G40" s="1432"/>
      <c r="H40" s="1432"/>
      <c r="I40" s="1432"/>
      <c r="J40" s="1432"/>
      <c r="K40" s="1432"/>
      <c r="L40" s="1432"/>
      <c r="M40" s="1432"/>
      <c r="N40" s="1432"/>
      <c r="O40" s="1432"/>
      <c r="P40" s="1432"/>
      <c r="Q40" s="1432"/>
    </row>
    <row r="41" spans="1:17" x14ac:dyDescent="0.25">
      <c r="A41" s="1458" t="s">
        <v>2076</v>
      </c>
      <c r="B41" s="1449" t="s">
        <v>837</v>
      </c>
      <c r="C41" s="1464">
        <f ca="1">'Расчет базового уровня'!D38</f>
        <v>634987.77604399016</v>
      </c>
      <c r="D41" s="1492"/>
      <c r="E41" s="1488"/>
      <c r="F41" s="1489"/>
      <c r="G41" s="1432"/>
      <c r="H41" s="1432"/>
      <c r="I41" s="1432"/>
      <c r="J41" s="1432"/>
      <c r="K41" s="1432"/>
      <c r="L41" s="1432"/>
      <c r="M41" s="1432"/>
      <c r="N41" s="1432"/>
      <c r="O41" s="1432"/>
      <c r="P41" s="1432"/>
      <c r="Q41" s="1432"/>
    </row>
    <row r="42" spans="1:17" ht="20.100000000000001" customHeight="1" x14ac:dyDescent="0.25">
      <c r="A42" s="2610" t="s">
        <v>2069</v>
      </c>
      <c r="B42" s="2611"/>
      <c r="C42" s="2611"/>
      <c r="D42" s="2611"/>
      <c r="E42" s="2611"/>
      <c r="F42" s="2612"/>
      <c r="G42" s="1432"/>
      <c r="H42" s="1432"/>
      <c r="I42" s="1432"/>
      <c r="J42" s="1432"/>
      <c r="K42" s="1432"/>
      <c r="L42" s="1432"/>
      <c r="M42" s="1432"/>
      <c r="N42" s="1432"/>
      <c r="O42" s="1432"/>
      <c r="P42" s="1432"/>
      <c r="Q42" s="1432"/>
    </row>
    <row r="43" spans="1:17" s="13" customFormat="1" ht="32.450000000000003" customHeight="1" x14ac:dyDescent="0.25">
      <c r="A43" s="1434" t="s">
        <v>2098</v>
      </c>
      <c r="B43" s="1443" t="s">
        <v>1164</v>
      </c>
      <c r="C43" s="1512">
        <f ca="1">('Расчет базового уровня'!D44/'Расчет базового уровня'!D38)*100</f>
        <v>26.047404570757514</v>
      </c>
      <c r="D43" s="1473"/>
      <c r="E43" s="1474"/>
      <c r="F43" s="1475"/>
      <c r="G43" s="1432"/>
      <c r="H43" s="1432"/>
      <c r="I43" s="1432"/>
      <c r="J43" s="1432"/>
      <c r="K43" s="1432"/>
      <c r="L43" s="1432"/>
      <c r="M43" s="1432"/>
      <c r="N43" s="1432"/>
      <c r="O43" s="1432"/>
      <c r="P43" s="1432"/>
      <c r="Q43" s="1432"/>
    </row>
    <row r="44" spans="1:17" ht="29.45" customHeight="1" x14ac:dyDescent="0.25">
      <c r="A44" s="1450" t="s">
        <v>2088</v>
      </c>
      <c r="B44" s="1435" t="s">
        <v>1524</v>
      </c>
      <c r="C44" s="1461">
        <f ca="1">C41/C26</f>
        <v>111.63638819338786</v>
      </c>
      <c r="D44" s="1487"/>
      <c r="E44" s="1488"/>
      <c r="F44" s="1489"/>
      <c r="G44" s="1432"/>
      <c r="H44" s="1432"/>
      <c r="I44" s="1432"/>
      <c r="J44" s="1432"/>
      <c r="K44" s="1432"/>
      <c r="L44" s="1432"/>
      <c r="M44" s="1432"/>
      <c r="N44" s="1432"/>
      <c r="O44" s="1432"/>
      <c r="P44" s="1432"/>
      <c r="Q44" s="1432"/>
    </row>
    <row r="45" spans="1:17" ht="75.599999999999994" customHeight="1" x14ac:dyDescent="0.25">
      <c r="A45" s="1507" t="s">
        <v>2048</v>
      </c>
      <c r="B45" s="1440" t="s">
        <v>2072</v>
      </c>
      <c r="C45" s="1513">
        <f ca="1">$C$24+($C$44/$C$39)*($C$23-$C$27)</f>
        <v>24.48294620014989</v>
      </c>
      <c r="D45" s="2616" t="s">
        <v>2107</v>
      </c>
      <c r="E45" s="2617"/>
      <c r="F45" s="2618"/>
      <c r="G45" s="1432"/>
      <c r="H45" s="1432"/>
      <c r="I45" s="1432"/>
      <c r="J45" s="1432"/>
      <c r="K45" s="1432"/>
      <c r="L45" s="1432"/>
      <c r="M45" s="1432"/>
      <c r="N45" s="1432"/>
      <c r="O45" s="1432"/>
      <c r="P45" s="1432"/>
      <c r="Q45" s="1432"/>
    </row>
    <row r="46" spans="1:17" ht="16.5" customHeight="1" x14ac:dyDescent="0.25">
      <c r="A46" s="2613" t="s">
        <v>2103</v>
      </c>
      <c r="B46" s="2614"/>
      <c r="C46" s="2614"/>
      <c r="D46" s="2614"/>
      <c r="E46" s="2614"/>
      <c r="F46" s="2615"/>
      <c r="G46" s="1432"/>
      <c r="H46" s="1432"/>
      <c r="I46" s="1432"/>
      <c r="J46" s="1432"/>
      <c r="K46" s="1432"/>
      <c r="L46" s="1432"/>
      <c r="M46" s="1432"/>
      <c r="N46" s="1432"/>
      <c r="O46" s="1432"/>
      <c r="P46" s="1432"/>
      <c r="Q46" s="1432"/>
    </row>
    <row r="47" spans="1:17" ht="32.450000000000003" customHeight="1" x14ac:dyDescent="0.25">
      <c r="A47" s="1457" t="s">
        <v>2054</v>
      </c>
      <c r="B47" s="1448"/>
      <c r="C47" s="1465"/>
      <c r="D47" s="1482"/>
      <c r="E47" s="1483"/>
      <c r="F47" s="1484"/>
      <c r="G47" s="1432"/>
      <c r="H47" s="1432"/>
      <c r="I47" s="1432"/>
      <c r="J47" s="1432"/>
      <c r="K47" s="1432"/>
      <c r="L47" s="1432"/>
      <c r="M47" s="1432"/>
      <c r="N47" s="1432"/>
      <c r="O47" s="1432"/>
      <c r="P47" s="1432"/>
      <c r="Q47" s="1432"/>
    </row>
    <row r="48" spans="1:17" s="13" customFormat="1" ht="25.5" x14ac:dyDescent="0.25">
      <c r="A48" s="1467" t="s">
        <v>2075</v>
      </c>
      <c r="B48" s="1459" t="s">
        <v>2055</v>
      </c>
      <c r="C48" s="1468">
        <f>3*C33</f>
        <v>149.31379310344829</v>
      </c>
      <c r="D48" s="1485"/>
      <c r="E48" s="1462"/>
      <c r="F48" s="1486"/>
      <c r="G48" s="1432"/>
      <c r="H48" s="1432"/>
      <c r="I48" s="1432"/>
      <c r="J48" s="1432"/>
      <c r="K48" s="1432"/>
      <c r="L48" s="1432"/>
      <c r="M48" s="1432"/>
      <c r="N48" s="1432"/>
      <c r="O48" s="1432"/>
      <c r="P48" s="1432"/>
      <c r="Q48" s="1432"/>
    </row>
    <row r="49" spans="1:17" s="13" customFormat="1" ht="32.1" customHeight="1" x14ac:dyDescent="0.25">
      <c r="A49" s="1467" t="s">
        <v>2058</v>
      </c>
      <c r="B49" s="1459" t="s">
        <v>2055</v>
      </c>
      <c r="C49" s="1468">
        <f>30*C37</f>
        <v>84.827586206896541</v>
      </c>
      <c r="D49" s="1485"/>
      <c r="E49" s="1462"/>
      <c r="F49" s="1486"/>
      <c r="G49" s="1432"/>
      <c r="H49" s="1432"/>
      <c r="I49" s="1432"/>
      <c r="J49" s="1432"/>
      <c r="K49" s="1432"/>
      <c r="L49" s="1432"/>
      <c r="M49" s="1432"/>
      <c r="N49" s="1432"/>
      <c r="O49" s="1432"/>
      <c r="P49" s="1432"/>
      <c r="Q49" s="1432"/>
    </row>
    <row r="50" spans="1:17" s="13" customFormat="1" ht="15.75" x14ac:dyDescent="0.25">
      <c r="A50" s="1469" t="s">
        <v>2059</v>
      </c>
      <c r="B50" s="1470" t="s">
        <v>2060</v>
      </c>
      <c r="C50" s="1471">
        <f>IF((C48&gt;=C49),C48,C49)</f>
        <v>149.31379310344829</v>
      </c>
      <c r="D50" s="1487"/>
      <c r="E50" s="1488"/>
      <c r="F50" s="1489"/>
      <c r="G50" s="1432"/>
      <c r="H50" s="1432"/>
      <c r="I50" s="1432"/>
      <c r="J50" s="1432"/>
      <c r="K50" s="1432"/>
      <c r="L50" s="1432"/>
      <c r="M50" s="1432"/>
      <c r="N50" s="1432"/>
      <c r="O50" s="1432"/>
      <c r="P50" s="1432"/>
      <c r="Q50" s="1432"/>
    </row>
    <row r="51" spans="1:17" x14ac:dyDescent="0.25">
      <c r="A51" s="1457" t="s">
        <v>2100</v>
      </c>
      <c r="B51" s="1448" t="s">
        <v>1524</v>
      </c>
      <c r="C51" s="1472">
        <f ca="1">($C$50*$C$28*$C$30*($C$23-$C$45))/3600</f>
        <v>-0.22514494674595781</v>
      </c>
      <c r="D51" s="1485"/>
      <c r="E51" s="1462"/>
      <c r="F51" s="1486"/>
      <c r="G51" s="1432"/>
      <c r="H51" s="1432"/>
      <c r="I51" s="1432"/>
      <c r="J51" s="1432"/>
      <c r="K51" s="1432"/>
      <c r="L51" s="1432"/>
      <c r="M51" s="1432"/>
      <c r="N51" s="1432"/>
      <c r="O51" s="1432"/>
      <c r="P51" s="1432"/>
      <c r="Q51" s="1432"/>
    </row>
    <row r="52" spans="1:17" x14ac:dyDescent="0.25">
      <c r="A52" s="1460" t="s">
        <v>868</v>
      </c>
      <c r="B52" s="1459" t="s">
        <v>2057</v>
      </c>
      <c r="C52" s="1468">
        <f ca="1">C51*1000</f>
        <v>-225.14494674595781</v>
      </c>
      <c r="D52" s="1485"/>
      <c r="E52" s="1462"/>
      <c r="F52" s="1486"/>
      <c r="G52" s="1432"/>
      <c r="H52" s="1432"/>
      <c r="I52" s="1432"/>
      <c r="J52" s="1432"/>
      <c r="K52" s="1432"/>
      <c r="L52" s="1432"/>
      <c r="M52" s="1432"/>
      <c r="N52" s="1432"/>
      <c r="O52" s="1432"/>
      <c r="P52" s="1432"/>
      <c r="Q52" s="1432"/>
    </row>
    <row r="53" spans="1:17" ht="45.6" customHeight="1" x14ac:dyDescent="0.25">
      <c r="A53" s="1469" t="s">
        <v>2087</v>
      </c>
      <c r="B53" s="1470" t="s">
        <v>2057</v>
      </c>
      <c r="C53" s="1470">
        <f ca="1">IF(C52&lt;=600,600,VLOOKUP(C52,A5:A17,1,1))</f>
        <v>600</v>
      </c>
      <c r="D53" s="2588" t="s">
        <v>2121</v>
      </c>
      <c r="E53" s="2589"/>
      <c r="F53" s="2590"/>
      <c r="G53" s="1432"/>
      <c r="H53" s="1432"/>
      <c r="I53" s="1432"/>
      <c r="J53" s="1432"/>
      <c r="K53" s="1432"/>
      <c r="L53" s="1432"/>
      <c r="M53" s="1432"/>
      <c r="N53" s="1432"/>
      <c r="O53" s="1432"/>
      <c r="P53" s="1432"/>
      <c r="Q53" s="1432"/>
    </row>
    <row r="54" spans="1:17" ht="17.45" customHeight="1" x14ac:dyDescent="0.25">
      <c r="A54" s="2585" t="s">
        <v>2096</v>
      </c>
      <c r="B54" s="2586"/>
      <c r="C54" s="2586"/>
      <c r="D54" s="2586"/>
      <c r="E54" s="2586"/>
      <c r="F54" s="2587"/>
      <c r="G54" s="1432"/>
      <c r="H54" s="1432"/>
      <c r="I54" s="1432"/>
      <c r="J54" s="1432"/>
      <c r="K54" s="1432"/>
      <c r="L54" s="1432"/>
      <c r="M54" s="1432"/>
      <c r="N54" s="1432"/>
      <c r="O54" s="1432"/>
      <c r="P54" s="1432"/>
      <c r="Q54" s="1432"/>
    </row>
    <row r="55" spans="1:17" ht="63.6" customHeight="1" x14ac:dyDescent="0.25">
      <c r="A55" s="1493" t="s">
        <v>2084</v>
      </c>
      <c r="B55" s="1449" t="s">
        <v>2036</v>
      </c>
      <c r="C55" s="1449">
        <f>10</f>
        <v>10</v>
      </c>
      <c r="D55" s="2591" t="s">
        <v>2099</v>
      </c>
      <c r="E55" s="2592"/>
      <c r="F55" s="2593"/>
      <c r="G55" s="1432"/>
      <c r="H55" s="1432"/>
      <c r="I55" s="1432"/>
      <c r="J55" s="1432"/>
      <c r="K55" s="1432"/>
      <c r="L55" s="1432"/>
      <c r="M55" s="1432"/>
      <c r="N55" s="1432"/>
      <c r="O55" s="1432"/>
      <c r="P55" s="1432"/>
      <c r="Q55" s="1432"/>
    </row>
    <row r="56" spans="1:17" ht="27.95" customHeight="1" x14ac:dyDescent="0.25">
      <c r="A56" s="1457" t="s">
        <v>2085</v>
      </c>
      <c r="B56" s="1453"/>
      <c r="C56" s="1453"/>
      <c r="D56" s="1482"/>
      <c r="E56" s="1483"/>
      <c r="F56" s="1484"/>
      <c r="G56" s="1432"/>
      <c r="H56" s="1432"/>
      <c r="I56" s="1432"/>
      <c r="J56" s="1432"/>
      <c r="K56" s="1432"/>
      <c r="L56" s="1432"/>
      <c r="M56" s="1432"/>
      <c r="N56" s="1432"/>
      <c r="O56" s="1432"/>
      <c r="P56" s="1432"/>
      <c r="Q56" s="1432"/>
    </row>
    <row r="57" spans="1:17" x14ac:dyDescent="0.25">
      <c r="A57" s="1476" t="s">
        <v>2061</v>
      </c>
      <c r="B57" s="1459" t="s">
        <v>837</v>
      </c>
      <c r="C57" s="1459">
        <f ca="1">($C$53*$C$55*30)/1000</f>
        <v>180</v>
      </c>
      <c r="D57" s="1485"/>
      <c r="E57" s="1462"/>
      <c r="F57" s="1486"/>
      <c r="G57" s="1432"/>
      <c r="H57" s="1432"/>
      <c r="I57" s="1432"/>
      <c r="J57" s="1432"/>
      <c r="K57" s="1432"/>
      <c r="L57" s="1432"/>
      <c r="M57" s="1432"/>
      <c r="N57" s="1432"/>
      <c r="O57" s="1432"/>
      <c r="P57" s="1432"/>
      <c r="Q57" s="1432"/>
    </row>
    <row r="58" spans="1:17" x14ac:dyDescent="0.25">
      <c r="A58" s="1477" t="s">
        <v>2062</v>
      </c>
      <c r="B58" s="1449" t="s">
        <v>837</v>
      </c>
      <c r="C58" s="1464">
        <f ca="1">($C$53*$C$55*$C$25)/1000</f>
        <v>1422</v>
      </c>
      <c r="D58" s="1487"/>
      <c r="E58" s="1488"/>
      <c r="F58" s="1489"/>
      <c r="G58" s="1432"/>
      <c r="H58" s="1432"/>
      <c r="I58" s="1432"/>
      <c r="J58" s="1432"/>
      <c r="K58" s="1432"/>
      <c r="L58" s="1432"/>
      <c r="M58" s="1432"/>
      <c r="N58" s="1432"/>
      <c r="O58" s="1432"/>
      <c r="P58" s="1432"/>
      <c r="Q58" s="1432"/>
    </row>
    <row r="59" spans="1:17" x14ac:dyDescent="0.25">
      <c r="A59" s="1457" t="s">
        <v>2105</v>
      </c>
      <c r="B59" s="1453"/>
      <c r="C59" s="1453"/>
      <c r="D59" s="1482"/>
      <c r="E59" s="1483"/>
      <c r="F59" s="1484"/>
      <c r="G59" s="1432"/>
      <c r="H59" s="1432"/>
      <c r="I59" s="1432"/>
      <c r="J59" s="1432"/>
      <c r="K59" s="1432"/>
      <c r="L59" s="1432"/>
      <c r="M59" s="1432"/>
      <c r="N59" s="1432"/>
      <c r="O59" s="1432"/>
      <c r="P59" s="1432"/>
      <c r="Q59" s="1432"/>
    </row>
    <row r="60" spans="1:17" x14ac:dyDescent="0.25">
      <c r="A60" s="1476" t="s">
        <v>2061</v>
      </c>
      <c r="B60" s="1459" t="s">
        <v>837</v>
      </c>
      <c r="C60" s="1459">
        <f ca="1">(C31*$C$53*$C$55*30)/1000</f>
        <v>15660</v>
      </c>
      <c r="D60" s="1485"/>
      <c r="E60" s="1462"/>
      <c r="F60" s="1486"/>
      <c r="G60" s="1432"/>
      <c r="H60" s="1432"/>
      <c r="I60" s="1432"/>
      <c r="J60" s="1432"/>
      <c r="K60" s="1432"/>
      <c r="L60" s="1432"/>
      <c r="M60" s="1432"/>
      <c r="N60" s="1432"/>
      <c r="O60" s="1432"/>
      <c r="P60" s="1432"/>
      <c r="Q60" s="1432"/>
    </row>
    <row r="61" spans="1:17" x14ac:dyDescent="0.25">
      <c r="A61" s="1477" t="s">
        <v>2062</v>
      </c>
      <c r="B61" s="1449" t="s">
        <v>837</v>
      </c>
      <c r="C61" s="1464">
        <f ca="1">(C31*$C$53*$C$55*$C$25)/1000</f>
        <v>123714</v>
      </c>
      <c r="D61" s="1487"/>
      <c r="E61" s="1488"/>
      <c r="F61" s="1489"/>
      <c r="G61" s="1432"/>
      <c r="H61" s="1432"/>
      <c r="I61" s="1432"/>
      <c r="J61" s="1432"/>
      <c r="K61" s="1432"/>
      <c r="L61" s="1432"/>
      <c r="M61" s="1432"/>
      <c r="N61" s="1432"/>
      <c r="O61" s="1432"/>
      <c r="P61" s="1432"/>
      <c r="Q61" s="1432"/>
    </row>
    <row r="62" spans="1:17" ht="18" customHeight="1" x14ac:dyDescent="0.25">
      <c r="A62" s="2585" t="s">
        <v>2089</v>
      </c>
      <c r="B62" s="2586"/>
      <c r="C62" s="2586"/>
      <c r="D62" s="2586"/>
      <c r="E62" s="2586"/>
      <c r="F62" s="2587"/>
      <c r="G62" s="1432"/>
      <c r="H62" s="1432"/>
      <c r="I62" s="1432"/>
      <c r="J62" s="1432"/>
      <c r="K62" s="1432"/>
      <c r="L62" s="1432"/>
      <c r="M62" s="1432"/>
      <c r="N62" s="1432"/>
      <c r="O62" s="1432"/>
      <c r="P62" s="1432"/>
      <c r="Q62" s="1432"/>
    </row>
    <row r="63" spans="1:17" x14ac:dyDescent="0.25">
      <c r="A63" s="1493" t="s">
        <v>2063</v>
      </c>
      <c r="B63" s="1449" t="s">
        <v>2064</v>
      </c>
      <c r="C63" s="1463">
        <f>'Ввод исходных данных'!E302</f>
        <v>3.79</v>
      </c>
      <c r="D63" s="1490"/>
      <c r="E63" s="1491"/>
      <c r="F63" s="1451"/>
      <c r="G63" s="1432"/>
      <c r="H63" s="1432"/>
      <c r="I63" s="1432"/>
      <c r="J63" s="1432"/>
      <c r="K63" s="1432"/>
      <c r="L63" s="1432"/>
      <c r="M63" s="1432"/>
      <c r="N63" s="1432"/>
      <c r="O63" s="1432"/>
      <c r="P63" s="1432"/>
      <c r="Q63" s="1432"/>
    </row>
    <row r="64" spans="1:17" ht="30.6" customHeight="1" x14ac:dyDescent="0.25">
      <c r="A64" s="1457" t="s">
        <v>2065</v>
      </c>
      <c r="B64" s="1453"/>
      <c r="C64" s="1453"/>
      <c r="D64" s="1482"/>
      <c r="E64" s="1483"/>
      <c r="F64" s="1484"/>
      <c r="G64" s="1432"/>
      <c r="H64" s="1432"/>
      <c r="I64" s="1432"/>
      <c r="J64" s="1432"/>
      <c r="K64" s="1432"/>
      <c r="L64" s="1432"/>
      <c r="M64" s="1432"/>
      <c r="N64" s="1432"/>
      <c r="O64" s="1432"/>
      <c r="P64" s="1432"/>
      <c r="Q64" s="1432"/>
    </row>
    <row r="65" spans="1:17" x14ac:dyDescent="0.25">
      <c r="A65" s="1476" t="s">
        <v>2061</v>
      </c>
      <c r="B65" s="1459" t="s">
        <v>1283</v>
      </c>
      <c r="C65" s="1479">
        <f ca="1">C57*$C$63</f>
        <v>682.2</v>
      </c>
      <c r="D65" s="1485"/>
      <c r="E65" s="1462"/>
      <c r="F65" s="1486"/>
      <c r="G65" s="1432"/>
      <c r="H65" s="1432"/>
      <c r="I65" s="1432"/>
      <c r="J65" s="1432"/>
      <c r="K65" s="1432"/>
      <c r="L65" s="1432"/>
      <c r="M65" s="1432"/>
      <c r="N65" s="1432"/>
      <c r="O65" s="1432"/>
      <c r="P65" s="1432"/>
      <c r="Q65" s="1432"/>
    </row>
    <row r="66" spans="1:17" x14ac:dyDescent="0.25">
      <c r="A66" s="1477" t="s">
        <v>2062</v>
      </c>
      <c r="B66" s="1449" t="s">
        <v>1283</v>
      </c>
      <c r="C66" s="1463">
        <f ca="1">C58*$C$63</f>
        <v>5389.38</v>
      </c>
      <c r="D66" s="1487"/>
      <c r="E66" s="1488"/>
      <c r="F66" s="1489"/>
      <c r="G66" s="1432"/>
      <c r="H66" s="1432"/>
      <c r="I66" s="1432"/>
      <c r="J66" s="1432"/>
      <c r="K66" s="1432"/>
      <c r="L66" s="1432"/>
      <c r="M66" s="1432"/>
      <c r="N66" s="1432"/>
      <c r="O66" s="1432"/>
      <c r="P66" s="1432"/>
      <c r="Q66" s="1432"/>
    </row>
    <row r="67" spans="1:17" ht="30.95" customHeight="1" x14ac:dyDescent="0.25">
      <c r="A67" s="1457" t="s">
        <v>2104</v>
      </c>
      <c r="B67" s="1453"/>
      <c r="C67" s="1453"/>
      <c r="D67" s="1482"/>
      <c r="E67" s="1483"/>
      <c r="F67" s="1484"/>
      <c r="G67" s="1432"/>
      <c r="H67" s="1432"/>
      <c r="I67" s="1432"/>
      <c r="J67" s="1432"/>
      <c r="K67" s="1432"/>
      <c r="L67" s="1432"/>
      <c r="M67" s="1432"/>
      <c r="N67" s="1432"/>
      <c r="O67" s="1432"/>
      <c r="P67" s="1432"/>
      <c r="Q67" s="1432"/>
    </row>
    <row r="68" spans="1:17" x14ac:dyDescent="0.25">
      <c r="A68" s="1476" t="s">
        <v>2061</v>
      </c>
      <c r="B68" s="1459" t="s">
        <v>1283</v>
      </c>
      <c r="C68" s="1479">
        <f ca="1">C60*$C$63</f>
        <v>59351.4</v>
      </c>
      <c r="D68" s="1485"/>
      <c r="E68" s="1462"/>
      <c r="F68" s="1486"/>
      <c r="G68" s="1432"/>
      <c r="H68" s="1432"/>
      <c r="I68" s="1432"/>
      <c r="J68" s="1432"/>
      <c r="K68" s="1432"/>
      <c r="L68" s="1432"/>
      <c r="M68" s="1432"/>
      <c r="N68" s="1432"/>
      <c r="O68" s="1432"/>
      <c r="P68" s="1432"/>
      <c r="Q68" s="1432"/>
    </row>
    <row r="69" spans="1:17" x14ac:dyDescent="0.25">
      <c r="A69" s="1477" t="s">
        <v>2062</v>
      </c>
      <c r="B69" s="1449" t="s">
        <v>1283</v>
      </c>
      <c r="C69" s="1463">
        <f ca="1">C61*$C$63</f>
        <v>468876.06</v>
      </c>
      <c r="D69" s="1487"/>
      <c r="E69" s="1488"/>
      <c r="F69" s="1489"/>
      <c r="G69" s="1432"/>
      <c r="H69" s="1432"/>
      <c r="I69" s="1432"/>
      <c r="J69" s="1432"/>
      <c r="K69" s="1432"/>
      <c r="L69" s="1432"/>
      <c r="M69" s="1432"/>
      <c r="N69" s="1432"/>
      <c r="O69" s="1432"/>
      <c r="P69" s="1432"/>
      <c r="Q69" s="1432"/>
    </row>
    <row r="70" spans="1:17" ht="23.45" customHeight="1" x14ac:dyDescent="0.25">
      <c r="A70" s="2585" t="s">
        <v>2086</v>
      </c>
      <c r="B70" s="2586"/>
      <c r="C70" s="2586"/>
      <c r="D70" s="2586"/>
      <c r="E70" s="2586"/>
      <c r="F70" s="2587"/>
      <c r="G70" s="1432"/>
      <c r="H70" s="1432"/>
      <c r="I70" s="1432"/>
      <c r="J70" s="1432"/>
      <c r="K70" s="1432"/>
      <c r="L70" s="1432"/>
      <c r="M70" s="1432"/>
      <c r="N70" s="1432"/>
      <c r="O70" s="1432"/>
      <c r="P70" s="1432"/>
      <c r="Q70" s="1432"/>
    </row>
    <row r="71" spans="1:17" s="13" customFormat="1" ht="22.5" customHeight="1" x14ac:dyDescent="0.25">
      <c r="A71" s="1434" t="s">
        <v>2079</v>
      </c>
      <c r="B71" s="1443" t="s">
        <v>853</v>
      </c>
      <c r="C71" s="1452">
        <f>'Список мероприятий'!F17</f>
        <v>18</v>
      </c>
      <c r="D71" s="1474"/>
      <c r="E71" s="1474"/>
      <c r="F71" s="1475"/>
      <c r="G71" s="1432"/>
      <c r="H71" s="1432"/>
      <c r="I71" s="1432"/>
      <c r="J71" s="1432"/>
      <c r="K71" s="1432"/>
      <c r="L71" s="1432"/>
      <c r="M71" s="1432"/>
      <c r="N71" s="1432"/>
      <c r="O71" s="1432"/>
      <c r="P71" s="1432"/>
      <c r="Q71" s="1432"/>
    </row>
    <row r="72" spans="1:17" s="13" customFormat="1" ht="22.5" customHeight="1" x14ac:dyDescent="0.25">
      <c r="A72" s="1434" t="s">
        <v>2118</v>
      </c>
      <c r="B72" s="1449" t="s">
        <v>853</v>
      </c>
      <c r="C72" s="1464">
        <f>C71/C35</f>
        <v>5.5140845070422539</v>
      </c>
      <c r="D72" s="1503"/>
      <c r="E72" s="1503"/>
      <c r="F72" s="1504"/>
      <c r="G72" s="1432"/>
      <c r="H72" s="1432"/>
      <c r="I72" s="1432"/>
      <c r="J72" s="1432"/>
      <c r="K72" s="1432"/>
      <c r="L72" s="1432"/>
      <c r="M72" s="1432"/>
      <c r="N72" s="1432"/>
      <c r="O72" s="1432"/>
      <c r="P72" s="1432"/>
      <c r="Q72" s="1432"/>
    </row>
    <row r="73" spans="1:17" ht="41.1" customHeight="1" x14ac:dyDescent="0.25">
      <c r="A73" s="1493" t="s">
        <v>2097</v>
      </c>
      <c r="B73" s="1449" t="s">
        <v>1164</v>
      </c>
      <c r="C73" s="1464">
        <f ca="1">('Расчет после реализации'!D44/'Расчет после реализации'!D38)*100</f>
        <v>26.047404570757511</v>
      </c>
      <c r="D73" s="1490"/>
      <c r="E73" s="1491"/>
      <c r="F73" s="1451"/>
      <c r="G73" s="1432"/>
      <c r="H73" s="1432"/>
      <c r="I73" s="1432"/>
      <c r="J73" s="1432"/>
      <c r="K73" s="1432"/>
      <c r="L73" s="1432"/>
      <c r="M73" s="1432"/>
      <c r="N73" s="1432"/>
      <c r="O73" s="1432"/>
      <c r="P73" s="1432"/>
      <c r="Q73" s="1432"/>
    </row>
    <row r="74" spans="1:17" s="13" customFormat="1" ht="43.5" customHeight="1" x14ac:dyDescent="0.25">
      <c r="A74" s="1434" t="s">
        <v>2078</v>
      </c>
      <c r="B74" s="1443" t="s">
        <v>1524</v>
      </c>
      <c r="C74" s="1456">
        <f>'Расчет после реализации'!F146</f>
        <v>218.51988098286472</v>
      </c>
      <c r="D74" s="1490"/>
      <c r="E74" s="1491"/>
      <c r="F74" s="1451"/>
      <c r="G74" s="1432"/>
      <c r="H74" s="1432"/>
      <c r="I74" s="1432"/>
      <c r="J74" s="1432"/>
      <c r="K74" s="1432"/>
      <c r="L74" s="1432"/>
      <c r="M74" s="1432"/>
      <c r="N74" s="1432"/>
      <c r="O74" s="1432"/>
      <c r="P74" s="1432"/>
      <c r="Q74" s="1432"/>
    </row>
    <row r="75" spans="1:17" s="13" customFormat="1" ht="53.45" customHeight="1" x14ac:dyDescent="0.25">
      <c r="A75" s="1450" t="s">
        <v>2077</v>
      </c>
      <c r="B75" s="1435" t="s">
        <v>1524</v>
      </c>
      <c r="C75" s="1461">
        <f ca="1">'Расчет после реализации'!D38/Электроэнергия_на_обогрев!C26</f>
        <v>93.825245100490747</v>
      </c>
      <c r="D75" s="1490"/>
      <c r="E75" s="1491"/>
      <c r="F75" s="1451"/>
      <c r="G75" s="1432"/>
      <c r="H75" s="1432"/>
      <c r="I75" s="1432"/>
      <c r="J75" s="1432"/>
      <c r="K75" s="1432"/>
      <c r="L75" s="1432"/>
      <c r="M75" s="1432"/>
      <c r="N75" s="1432"/>
      <c r="O75" s="1432"/>
      <c r="P75" s="1432"/>
      <c r="Q75" s="1432"/>
    </row>
    <row r="76" spans="1:17" ht="49.5" customHeight="1" x14ac:dyDescent="0.25">
      <c r="A76" s="1507" t="s">
        <v>2066</v>
      </c>
      <c r="B76" s="1440" t="s">
        <v>2072</v>
      </c>
      <c r="C76" s="1513">
        <f ca="1">$C$24+($C$75/$C$74)*($C$23-$C$27)</f>
        <v>19.999999999999993</v>
      </c>
      <c r="D76" s="2591" t="s">
        <v>2108</v>
      </c>
      <c r="E76" s="2592"/>
      <c r="F76" s="2593"/>
      <c r="G76" s="1432"/>
      <c r="H76" s="1432"/>
      <c r="I76" s="1432"/>
      <c r="J76" s="1432"/>
      <c r="K76" s="1432"/>
      <c r="L76" s="1432"/>
      <c r="M76" s="1432"/>
      <c r="N76" s="1432"/>
      <c r="O76" s="1432"/>
      <c r="P76" s="1432"/>
      <c r="Q76" s="1432"/>
    </row>
    <row r="77" spans="1:17" ht="42.6" customHeight="1" x14ac:dyDescent="0.25">
      <c r="A77" s="1457" t="s">
        <v>2094</v>
      </c>
      <c r="B77" s="1448" t="s">
        <v>1524</v>
      </c>
      <c r="C77" s="1472">
        <f ca="1">($C$50*$C$28*$C$30*($C$23-$C$76))/3600</f>
        <v>3.5685261268155766E-16</v>
      </c>
      <c r="D77" s="1482"/>
      <c r="E77" s="1483"/>
      <c r="F77" s="1484"/>
      <c r="G77" s="1432"/>
      <c r="H77" s="1432"/>
      <c r="I77" s="1432"/>
      <c r="J77" s="1432"/>
      <c r="K77" s="1432"/>
      <c r="L77" s="1432"/>
      <c r="M77" s="1432"/>
      <c r="N77" s="1432"/>
      <c r="O77" s="1432"/>
      <c r="P77" s="1432"/>
      <c r="Q77" s="1432"/>
    </row>
    <row r="78" spans="1:17" x14ac:dyDescent="0.25">
      <c r="A78" s="1454" t="s">
        <v>868</v>
      </c>
      <c r="B78" s="1449" t="s">
        <v>2057</v>
      </c>
      <c r="C78" s="1464">
        <f ca="1">C77*1000</f>
        <v>3.5685261268155765E-13</v>
      </c>
      <c r="D78" s="1487"/>
      <c r="E78" s="1488"/>
      <c r="F78" s="1489"/>
      <c r="G78" s="1432"/>
      <c r="H78" s="1432"/>
      <c r="I78" s="1432"/>
      <c r="J78" s="1432"/>
      <c r="K78" s="1432"/>
      <c r="L78" s="1432"/>
      <c r="M78" s="1432"/>
      <c r="N78" s="1432"/>
      <c r="O78" s="1432"/>
      <c r="P78" s="1432"/>
      <c r="Q78" s="1432"/>
    </row>
    <row r="79" spans="1:17" ht="32.450000000000003" customHeight="1" x14ac:dyDescent="0.25">
      <c r="A79" s="1457" t="s">
        <v>2067</v>
      </c>
      <c r="B79" s="1448" t="s">
        <v>2057</v>
      </c>
      <c r="C79" s="1481">
        <f ca="1">C52-C78</f>
        <v>-225.14494674595818</v>
      </c>
      <c r="D79" s="2594" t="s">
        <v>2101</v>
      </c>
      <c r="E79" s="2595"/>
      <c r="F79" s="2596"/>
      <c r="G79" s="1432"/>
      <c r="H79" s="1432"/>
      <c r="I79" s="1432"/>
      <c r="J79" s="1432"/>
      <c r="K79" s="1432"/>
      <c r="L79" s="1432"/>
      <c r="M79" s="1432"/>
      <c r="N79" s="1432"/>
      <c r="O79" s="1432"/>
      <c r="P79" s="1432"/>
      <c r="Q79" s="1432"/>
    </row>
    <row r="80" spans="1:17" x14ac:dyDescent="0.25">
      <c r="A80" s="1454" t="s">
        <v>868</v>
      </c>
      <c r="B80" s="1449" t="s">
        <v>1164</v>
      </c>
      <c r="C80" s="1464">
        <f ca="1">(C79/C52)*100</f>
        <v>100.00000000000016</v>
      </c>
      <c r="D80" s="2588"/>
      <c r="E80" s="2589"/>
      <c r="F80" s="2590"/>
      <c r="G80" s="1432"/>
      <c r="H80" s="1432"/>
      <c r="I80" s="1432"/>
      <c r="J80" s="1432"/>
      <c r="K80" s="1432"/>
      <c r="L80" s="1432"/>
      <c r="M80" s="1432"/>
      <c r="N80" s="1432"/>
      <c r="O80" s="1432"/>
      <c r="P80" s="1432"/>
      <c r="Q80" s="1432"/>
    </row>
    <row r="81" spans="1:17" s="13" customFormat="1" ht="21.6" customHeight="1" x14ac:dyDescent="0.25">
      <c r="A81" s="2585" t="s">
        <v>2070</v>
      </c>
      <c r="B81" s="2586"/>
      <c r="C81" s="2586"/>
      <c r="D81" s="2586"/>
      <c r="E81" s="2586"/>
      <c r="F81" s="2587"/>
      <c r="G81" s="1432"/>
      <c r="H81" s="1432"/>
      <c r="I81" s="1432"/>
      <c r="J81" s="1432"/>
      <c r="K81" s="1432"/>
      <c r="L81" s="1432"/>
      <c r="M81" s="1432"/>
      <c r="N81" s="1432"/>
      <c r="O81" s="1432"/>
      <c r="P81" s="1432"/>
      <c r="Q81" s="1432"/>
    </row>
    <row r="82" spans="1:17" s="13" customFormat="1" ht="32.1" customHeight="1" x14ac:dyDescent="0.25">
      <c r="A82" s="1457" t="s">
        <v>2068</v>
      </c>
      <c r="B82" s="1453"/>
      <c r="C82" s="1453"/>
      <c r="D82" s="1482"/>
      <c r="E82" s="1483"/>
      <c r="F82" s="1484"/>
      <c r="G82" s="1432"/>
      <c r="H82" s="1432"/>
      <c r="I82" s="1432"/>
      <c r="J82" s="1432"/>
      <c r="K82" s="1432"/>
      <c r="L82" s="1432"/>
      <c r="M82" s="1432"/>
      <c r="N82" s="1432"/>
      <c r="O82" s="1432"/>
      <c r="P82" s="1432"/>
      <c r="Q82" s="1432"/>
    </row>
    <row r="83" spans="1:17" s="13" customFormat="1" x14ac:dyDescent="0.25">
      <c r="A83" s="1476" t="s">
        <v>2061</v>
      </c>
      <c r="B83" s="1459" t="s">
        <v>837</v>
      </c>
      <c r="C83" s="1478">
        <f ca="1">((1-($C$80/100))*$C$53*30*$C$55)/1000</f>
        <v>-2.7977620220553945E-13</v>
      </c>
      <c r="D83" s="1485"/>
      <c r="E83" s="1462"/>
      <c r="F83" s="1486"/>
      <c r="G83" s="1432"/>
      <c r="H83" s="1432"/>
      <c r="I83" s="1432"/>
      <c r="J83" s="1432"/>
      <c r="K83" s="1432"/>
      <c r="L83" s="1432"/>
      <c r="M83" s="1432"/>
      <c r="N83" s="1432"/>
      <c r="O83" s="1432"/>
      <c r="P83" s="1432"/>
      <c r="Q83" s="1432"/>
    </row>
    <row r="84" spans="1:17" s="13" customFormat="1" x14ac:dyDescent="0.25">
      <c r="A84" s="1477" t="s">
        <v>2062</v>
      </c>
      <c r="B84" s="1459" t="s">
        <v>837</v>
      </c>
      <c r="C84" s="1478">
        <f ca="1">((1-($C$80/100))*$C$53*$C$55*$C$25)/1000</f>
        <v>-2.2102319974237616E-12</v>
      </c>
      <c r="D84" s="1487"/>
      <c r="E84" s="1488"/>
      <c r="F84" s="1489"/>
      <c r="G84" s="1432"/>
      <c r="H84" s="1432"/>
      <c r="I84" s="1432"/>
      <c r="J84" s="1432"/>
      <c r="K84" s="1432"/>
      <c r="L84" s="1432"/>
      <c r="M84" s="1432"/>
      <c r="N84" s="1432"/>
      <c r="O84" s="1432"/>
      <c r="P84" s="1432"/>
      <c r="Q84" s="1432"/>
    </row>
    <row r="85" spans="1:17" s="13" customFormat="1" ht="32.1" customHeight="1" x14ac:dyDescent="0.25">
      <c r="A85" s="1457" t="s">
        <v>2106</v>
      </c>
      <c r="B85" s="1453"/>
      <c r="C85" s="1453"/>
      <c r="D85" s="1482"/>
      <c r="E85" s="1483"/>
      <c r="F85" s="1484"/>
      <c r="G85" s="1432"/>
      <c r="H85" s="1432"/>
      <c r="I85" s="1432"/>
      <c r="J85" s="1432"/>
      <c r="K85" s="1432"/>
      <c r="L85" s="1432"/>
      <c r="M85" s="1432"/>
      <c r="N85" s="1432"/>
      <c r="O85" s="1432"/>
      <c r="P85" s="1432"/>
      <c r="Q85" s="1432"/>
    </row>
    <row r="86" spans="1:17" s="13" customFormat="1" x14ac:dyDescent="0.25">
      <c r="A86" s="1476" t="s">
        <v>2061</v>
      </c>
      <c r="B86" s="1459" t="s">
        <v>837</v>
      </c>
      <c r="C86" s="1468">
        <f ca="1">(C72*(1-($C$80/100))*$C$53)*30*$C$55/1000+(C31-C72)*$C$53*30*$C$55/1000</f>
        <v>14667.464788732394</v>
      </c>
      <c r="D86" s="1485"/>
      <c r="E86" s="1462"/>
      <c r="F86" s="1486"/>
      <c r="G86" s="1432"/>
      <c r="H86" s="1432"/>
      <c r="I86" s="1432"/>
      <c r="J86" s="1432"/>
      <c r="K86" s="1432"/>
      <c r="L86" s="1432"/>
      <c r="M86" s="1432"/>
      <c r="N86" s="1432"/>
      <c r="O86" s="1432"/>
      <c r="P86" s="1432"/>
      <c r="Q86" s="1432"/>
    </row>
    <row r="87" spans="1:17" s="13" customFormat="1" x14ac:dyDescent="0.25">
      <c r="A87" s="1477" t="s">
        <v>2062</v>
      </c>
      <c r="B87" s="1459" t="s">
        <v>837</v>
      </c>
      <c r="C87" s="1464">
        <f ca="1">($C$72*(1-$C$80/100)*$C$53/1000*$C$25*$C$55)+(($C$31-$C$72)*$C$53/1000*$C$25*$C$55)</f>
        <v>115872.9718309859</v>
      </c>
      <c r="D87" s="1487"/>
      <c r="E87" s="1488"/>
      <c r="F87" s="1489"/>
      <c r="G87" s="1432"/>
      <c r="H87" s="1432"/>
      <c r="I87" s="1432"/>
      <c r="J87" s="1432"/>
      <c r="K87" s="1432"/>
      <c r="L87" s="1432"/>
      <c r="M87" s="1432"/>
      <c r="N87" s="1432"/>
      <c r="O87" s="1432"/>
      <c r="P87" s="1432"/>
      <c r="Q87" s="1432"/>
    </row>
    <row r="88" spans="1:17" s="13" customFormat="1" ht="22.5" customHeight="1" x14ac:dyDescent="0.25">
      <c r="A88" s="2585" t="s">
        <v>2090</v>
      </c>
      <c r="B88" s="2586"/>
      <c r="C88" s="2586"/>
      <c r="D88" s="2586"/>
      <c r="E88" s="2586"/>
      <c r="F88" s="2587"/>
      <c r="G88" s="1432"/>
      <c r="H88" s="1432"/>
      <c r="I88" s="1432"/>
      <c r="J88" s="1432"/>
      <c r="K88" s="1432"/>
      <c r="L88" s="1432"/>
      <c r="M88" s="1432"/>
      <c r="N88" s="1432"/>
      <c r="O88" s="1432"/>
      <c r="P88" s="1432"/>
      <c r="Q88" s="1432"/>
    </row>
    <row r="89" spans="1:17" s="13" customFormat="1" ht="29.1" customHeight="1" x14ac:dyDescent="0.25">
      <c r="A89" s="1457" t="s">
        <v>2065</v>
      </c>
      <c r="B89" s="1453"/>
      <c r="C89" s="1453"/>
      <c r="D89" s="1482"/>
      <c r="E89" s="1483"/>
      <c r="F89" s="1484"/>
      <c r="G89" s="1432"/>
      <c r="H89" s="1432"/>
      <c r="I89" s="1432"/>
      <c r="J89" s="1432"/>
      <c r="K89" s="1432"/>
      <c r="L89" s="1432"/>
      <c r="M89" s="1432"/>
      <c r="N89" s="1432"/>
      <c r="O89" s="1432"/>
      <c r="P89" s="1432"/>
      <c r="Q89" s="1432"/>
    </row>
    <row r="90" spans="1:17" s="13" customFormat="1" x14ac:dyDescent="0.25">
      <c r="A90" s="1476" t="s">
        <v>2061</v>
      </c>
      <c r="B90" s="1459" t="s">
        <v>1283</v>
      </c>
      <c r="C90" s="1478">
        <f ca="1">C83*$C$63</f>
        <v>-1.0603518063589944E-12</v>
      </c>
      <c r="D90" s="1485"/>
      <c r="E90" s="1462"/>
      <c r="F90" s="1486"/>
      <c r="G90" s="1432"/>
      <c r="H90" s="1432"/>
      <c r="I90" s="1432"/>
      <c r="J90" s="1432"/>
      <c r="K90" s="1432"/>
      <c r="L90" s="1432"/>
      <c r="M90" s="1432"/>
      <c r="N90" s="1432"/>
      <c r="O90" s="1432"/>
      <c r="P90" s="1432"/>
      <c r="Q90" s="1432"/>
    </row>
    <row r="91" spans="1:17" s="13" customFormat="1" x14ac:dyDescent="0.25">
      <c r="A91" s="1477" t="s">
        <v>2062</v>
      </c>
      <c r="B91" s="1449" t="s">
        <v>1283</v>
      </c>
      <c r="C91" s="1478">
        <f ca="1">C84*$C$63</f>
        <v>-8.3767792702360574E-12</v>
      </c>
      <c r="D91" s="1487"/>
      <c r="E91" s="1488"/>
      <c r="F91" s="1489"/>
      <c r="G91" s="1432"/>
      <c r="H91" s="1432"/>
      <c r="I91" s="1432"/>
      <c r="J91" s="1432"/>
      <c r="K91" s="1432"/>
      <c r="L91" s="1432"/>
      <c r="M91" s="1432"/>
      <c r="N91" s="1432"/>
      <c r="O91" s="1432"/>
      <c r="P91" s="1432"/>
      <c r="Q91" s="1432"/>
    </row>
    <row r="92" spans="1:17" s="13" customFormat="1" ht="32.450000000000003" customHeight="1" x14ac:dyDescent="0.25">
      <c r="A92" s="1457" t="s">
        <v>2104</v>
      </c>
      <c r="B92" s="1453"/>
      <c r="C92" s="1453"/>
      <c r="D92" s="1482"/>
      <c r="E92" s="1483"/>
      <c r="F92" s="1484"/>
      <c r="G92" s="1432"/>
      <c r="H92" s="1432"/>
      <c r="I92" s="1432"/>
      <c r="J92" s="1432"/>
      <c r="K92" s="1432"/>
      <c r="L92" s="1432"/>
      <c r="M92" s="1432"/>
      <c r="N92" s="1432"/>
      <c r="O92" s="1432"/>
      <c r="P92" s="1432"/>
      <c r="Q92" s="1432"/>
    </row>
    <row r="93" spans="1:17" s="13" customFormat="1" x14ac:dyDescent="0.25">
      <c r="A93" s="1476" t="s">
        <v>2061</v>
      </c>
      <c r="B93" s="1459" t="s">
        <v>1283</v>
      </c>
      <c r="C93" s="1478">
        <f ca="1">C86*$C$63</f>
        <v>55589.691549295771</v>
      </c>
      <c r="D93" s="1485"/>
      <c r="E93" s="1462"/>
      <c r="F93" s="1486"/>
      <c r="G93" s="1432"/>
      <c r="H93" s="1432"/>
      <c r="I93" s="1432"/>
      <c r="J93" s="1432"/>
      <c r="K93" s="1432"/>
      <c r="L93" s="1432"/>
      <c r="M93" s="1432"/>
      <c r="N93" s="1432"/>
      <c r="O93" s="1432"/>
      <c r="P93" s="1432"/>
      <c r="Q93" s="1432"/>
    </row>
    <row r="94" spans="1:17" s="13" customFormat="1" x14ac:dyDescent="0.25">
      <c r="A94" s="1477" t="s">
        <v>2062</v>
      </c>
      <c r="B94" s="1449" t="s">
        <v>1283</v>
      </c>
      <c r="C94" s="1478">
        <f ca="1">C87*$C$63</f>
        <v>439158.5632394366</v>
      </c>
      <c r="D94" s="1487"/>
      <c r="E94" s="1488"/>
      <c r="F94" s="1489"/>
      <c r="G94" s="1432"/>
      <c r="H94" s="1432"/>
      <c r="I94" s="1432"/>
      <c r="J94" s="1432"/>
      <c r="K94" s="1432"/>
      <c r="L94" s="1432"/>
      <c r="M94" s="1432"/>
      <c r="N94" s="1432"/>
      <c r="O94" s="1432"/>
      <c r="P94" s="1432"/>
      <c r="Q94" s="1432"/>
    </row>
    <row r="95" spans="1:17" ht="20.45" customHeight="1" x14ac:dyDescent="0.25">
      <c r="A95" s="2585" t="s">
        <v>2109</v>
      </c>
      <c r="B95" s="2586"/>
      <c r="C95" s="2586"/>
      <c r="D95" s="2586"/>
      <c r="E95" s="2586"/>
      <c r="F95" s="2587"/>
      <c r="G95" s="1432"/>
      <c r="H95" s="1432"/>
      <c r="I95" s="1432"/>
      <c r="J95" s="1432"/>
      <c r="K95" s="1432"/>
      <c r="L95" s="1432"/>
      <c r="M95" s="1432"/>
      <c r="N95" s="1432"/>
      <c r="O95" s="1432"/>
      <c r="P95" s="1432"/>
      <c r="Q95" s="1432"/>
    </row>
    <row r="96" spans="1:17" ht="29.45" customHeight="1" x14ac:dyDescent="0.25">
      <c r="A96" s="1457" t="s">
        <v>2110</v>
      </c>
      <c r="B96" s="1453"/>
      <c r="C96" s="1453"/>
      <c r="D96" s="1482"/>
      <c r="E96" s="1483"/>
      <c r="F96" s="1484"/>
      <c r="G96" s="1432"/>
      <c r="H96" s="1432"/>
      <c r="I96" s="1432"/>
      <c r="J96" s="1432"/>
      <c r="K96" s="1432"/>
      <c r="L96" s="1432"/>
      <c r="M96" s="1432"/>
      <c r="N96" s="1432"/>
      <c r="O96" s="1432"/>
      <c r="P96" s="1432"/>
      <c r="Q96" s="1432"/>
    </row>
    <row r="97" spans="1:17" x14ac:dyDescent="0.25">
      <c r="A97" s="1476" t="s">
        <v>2061</v>
      </c>
      <c r="B97" s="1459" t="s">
        <v>837</v>
      </c>
      <c r="C97" s="1468">
        <f ca="1">C57-C83</f>
        <v>180.00000000000028</v>
      </c>
      <c r="D97" s="1485"/>
      <c r="E97" s="1462"/>
      <c r="F97" s="1486"/>
      <c r="G97" s="1432"/>
      <c r="H97" s="1432"/>
      <c r="I97" s="1432"/>
      <c r="J97" s="1432"/>
      <c r="K97" s="1432"/>
      <c r="L97" s="1432"/>
      <c r="M97" s="1432"/>
      <c r="N97" s="1432"/>
      <c r="O97" s="1432"/>
      <c r="P97" s="1432"/>
      <c r="Q97" s="1432"/>
    </row>
    <row r="98" spans="1:17" x14ac:dyDescent="0.25">
      <c r="A98" s="1477" t="s">
        <v>2062</v>
      </c>
      <c r="B98" s="1459" t="s">
        <v>837</v>
      </c>
      <c r="C98" s="1468">
        <f ca="1">C58-C84</f>
        <v>1422.0000000000023</v>
      </c>
      <c r="D98" s="1487"/>
      <c r="E98" s="1488"/>
      <c r="F98" s="1489"/>
      <c r="G98" s="1432"/>
      <c r="H98" s="1432"/>
      <c r="I98" s="1432"/>
      <c r="J98" s="1432"/>
      <c r="K98" s="1432"/>
      <c r="L98" s="1432"/>
      <c r="M98" s="1432"/>
      <c r="N98" s="1432"/>
      <c r="O98" s="1432"/>
      <c r="P98" s="1432"/>
      <c r="Q98" s="1432"/>
    </row>
    <row r="99" spans="1:17" ht="23.45" customHeight="1" x14ac:dyDescent="0.25">
      <c r="A99" s="1457" t="s">
        <v>2117</v>
      </c>
      <c r="B99" s="1453"/>
      <c r="C99" s="1453"/>
      <c r="D99" s="1482"/>
      <c r="E99" s="1483"/>
      <c r="F99" s="1484"/>
      <c r="G99" s="1432"/>
      <c r="H99" s="1432"/>
      <c r="I99" s="1432"/>
      <c r="J99" s="1432"/>
      <c r="K99" s="1432"/>
      <c r="L99" s="1432"/>
      <c r="M99" s="1432"/>
      <c r="N99" s="1432"/>
      <c r="O99" s="1432"/>
      <c r="P99" s="1432"/>
      <c r="Q99" s="1432"/>
    </row>
    <row r="100" spans="1:17" x14ac:dyDescent="0.25">
      <c r="A100" s="1476" t="s">
        <v>2061</v>
      </c>
      <c r="B100" s="1459" t="s">
        <v>837</v>
      </c>
      <c r="C100" s="1468">
        <f ca="1">C60-C86</f>
        <v>992.53521126760643</v>
      </c>
      <c r="D100" s="1485"/>
      <c r="E100" s="1462"/>
      <c r="F100" s="1486"/>
      <c r="G100" s="1432"/>
      <c r="H100" s="1432"/>
      <c r="I100" s="1432"/>
      <c r="J100" s="1432"/>
      <c r="K100" s="1432"/>
      <c r="L100" s="1432"/>
      <c r="M100" s="1432"/>
      <c r="N100" s="1432"/>
      <c r="O100" s="1432"/>
      <c r="P100" s="1432"/>
      <c r="Q100" s="1432"/>
    </row>
    <row r="101" spans="1:17" x14ac:dyDescent="0.25">
      <c r="A101" s="1477" t="s">
        <v>2062</v>
      </c>
      <c r="B101" s="1449" t="s">
        <v>837</v>
      </c>
      <c r="C101" s="1464">
        <f ca="1">C61-C87</f>
        <v>7841.0281690140982</v>
      </c>
      <c r="D101" s="1494"/>
      <c r="E101" s="1495"/>
      <c r="F101" s="1496"/>
    </row>
    <row r="102" spans="1:17" ht="17.45" customHeight="1" x14ac:dyDescent="0.25">
      <c r="A102" s="2585" t="s">
        <v>2111</v>
      </c>
      <c r="B102" s="2586"/>
      <c r="C102" s="2586"/>
      <c r="D102" s="2586"/>
      <c r="E102" s="2586"/>
      <c r="F102" s="2587"/>
    </row>
    <row r="103" spans="1:17" ht="27.95" customHeight="1" x14ac:dyDescent="0.25">
      <c r="A103" s="1466" t="s">
        <v>2112</v>
      </c>
      <c r="B103" s="1460"/>
      <c r="C103" s="1460"/>
      <c r="D103" s="1497"/>
      <c r="E103" s="1498"/>
      <c r="F103" s="1499"/>
    </row>
    <row r="104" spans="1:17" x14ac:dyDescent="0.25">
      <c r="A104" s="1476" t="s">
        <v>2061</v>
      </c>
      <c r="B104" s="1459" t="s">
        <v>1283</v>
      </c>
      <c r="C104" s="1479">
        <f ca="1">C65-C90</f>
        <v>682.20000000000107</v>
      </c>
      <c r="D104" s="1500"/>
      <c r="E104" s="1501"/>
      <c r="F104" s="1502"/>
    </row>
    <row r="105" spans="1:17" x14ac:dyDescent="0.25">
      <c r="A105" s="1477" t="s">
        <v>2062</v>
      </c>
      <c r="B105" s="1449" t="s">
        <v>1283</v>
      </c>
      <c r="C105" s="1463">
        <f ca="1">C66-C91</f>
        <v>5389.3800000000083</v>
      </c>
      <c r="D105" s="1494"/>
      <c r="E105" s="1495"/>
      <c r="F105" s="1496"/>
    </row>
    <row r="106" spans="1:17" ht="28.5" customHeight="1" x14ac:dyDescent="0.25">
      <c r="A106" s="1457" t="s">
        <v>2113</v>
      </c>
      <c r="B106" s="1453"/>
      <c r="C106" s="1453"/>
      <c r="D106" s="1497"/>
      <c r="E106" s="1498"/>
      <c r="F106" s="1499"/>
    </row>
    <row r="107" spans="1:17" x14ac:dyDescent="0.25">
      <c r="A107" s="1476" t="s">
        <v>2061</v>
      </c>
      <c r="B107" s="1459" t="s">
        <v>1283</v>
      </c>
      <c r="C107" s="1479">
        <f ca="1">C68-C93</f>
        <v>3761.7084507042309</v>
      </c>
      <c r="D107" s="1500"/>
      <c r="E107" s="1501"/>
      <c r="F107" s="1502"/>
    </row>
    <row r="108" spans="1:17" x14ac:dyDescent="0.25">
      <c r="A108" s="1477" t="s">
        <v>2062</v>
      </c>
      <c r="B108" s="1449" t="s">
        <v>1283</v>
      </c>
      <c r="C108" s="1463">
        <f ca="1">C69-C94</f>
        <v>29717.496760563401</v>
      </c>
      <c r="D108" s="1494"/>
      <c r="E108" s="1495"/>
      <c r="F108" s="1496"/>
    </row>
    <row r="111" spans="1:17" ht="15.75" x14ac:dyDescent="0.25">
      <c r="A111" s="2597" t="s">
        <v>2080</v>
      </c>
      <c r="B111" s="2597"/>
      <c r="C111" s="2597"/>
    </row>
    <row r="112" spans="1:17" x14ac:dyDescent="0.25">
      <c r="A112" s="1439" t="s">
        <v>829</v>
      </c>
      <c r="B112" s="1440" t="s">
        <v>1157</v>
      </c>
      <c r="C112" s="1440" t="s">
        <v>862</v>
      </c>
    </row>
    <row r="113" spans="1:3" s="13" customFormat="1" x14ac:dyDescent="0.25">
      <c r="A113" s="2601" t="s">
        <v>2091</v>
      </c>
      <c r="B113" s="2602"/>
      <c r="C113" s="2603"/>
    </row>
    <row r="114" spans="1:3" ht="44.1" customHeight="1" x14ac:dyDescent="0.25">
      <c r="A114" s="1450" t="s">
        <v>2115</v>
      </c>
      <c r="B114" s="1443" t="s">
        <v>837</v>
      </c>
      <c r="C114" s="1514">
        <f ca="1">C61</f>
        <v>123714</v>
      </c>
    </row>
    <row r="115" spans="1:3" ht="25.5" x14ac:dyDescent="0.25">
      <c r="A115" s="1434" t="s">
        <v>2116</v>
      </c>
      <c r="B115" s="1443" t="s">
        <v>1283</v>
      </c>
      <c r="C115" s="1514">
        <f ca="1">C69</f>
        <v>468876.06</v>
      </c>
    </row>
    <row r="116" spans="1:3" x14ac:dyDescent="0.25">
      <c r="A116" s="2601" t="s">
        <v>2092</v>
      </c>
      <c r="B116" s="2602"/>
      <c r="C116" s="2603"/>
    </row>
    <row r="117" spans="1:3" ht="25.5" x14ac:dyDescent="0.25">
      <c r="A117" s="1450" t="s">
        <v>2115</v>
      </c>
      <c r="B117" s="1443" t="s">
        <v>837</v>
      </c>
      <c r="C117" s="1514">
        <f ca="1">C87</f>
        <v>115872.9718309859</v>
      </c>
    </row>
    <row r="118" spans="1:3" ht="25.5" x14ac:dyDescent="0.25">
      <c r="A118" s="1434" t="s">
        <v>2116</v>
      </c>
      <c r="B118" s="1443" t="s">
        <v>1283</v>
      </c>
      <c r="C118" s="1514">
        <f ca="1">C94</f>
        <v>439158.5632394366</v>
      </c>
    </row>
    <row r="119" spans="1:3" ht="28.5" customHeight="1" x14ac:dyDescent="0.25">
      <c r="A119" s="2585" t="s">
        <v>2093</v>
      </c>
      <c r="B119" s="2586"/>
      <c r="C119" s="2587"/>
    </row>
    <row r="120" spans="1:3" x14ac:dyDescent="0.25">
      <c r="A120" s="1515" t="s">
        <v>2120</v>
      </c>
      <c r="B120" s="1517" t="s">
        <v>837</v>
      </c>
      <c r="C120" s="1481">
        <f ca="1">C114-C117</f>
        <v>7841.0281690140982</v>
      </c>
    </row>
    <row r="121" spans="1:3" x14ac:dyDescent="0.25">
      <c r="A121" s="1516" t="s">
        <v>868</v>
      </c>
      <c r="B121" s="1518" t="s">
        <v>1164</v>
      </c>
      <c r="C121" s="1519">
        <f ca="1">(C120/C114)*100</f>
        <v>6.3380281690140956</v>
      </c>
    </row>
    <row r="122" spans="1:3" x14ac:dyDescent="0.25">
      <c r="A122" s="1515" t="s">
        <v>2114</v>
      </c>
      <c r="B122" s="1517" t="s">
        <v>1283</v>
      </c>
      <c r="C122" s="1481">
        <f ca="1">C115-C118</f>
        <v>29717.496760563401</v>
      </c>
    </row>
    <row r="123" spans="1:3" x14ac:dyDescent="0.25">
      <c r="A123" s="1516" t="s">
        <v>868</v>
      </c>
      <c r="B123" s="1518" t="s">
        <v>1164</v>
      </c>
      <c r="C123" s="1519">
        <f ca="1">(C122/C115)*100</f>
        <v>6.3380281690140885</v>
      </c>
    </row>
    <row r="129" spans="1:2" s="1520" customFormat="1" x14ac:dyDescent="0.25">
      <c r="A129" s="259" t="s">
        <v>1240</v>
      </c>
      <c r="B129" s="1521">
        <v>2.5000000000000001E-2</v>
      </c>
    </row>
    <row r="130" spans="1:2" s="1520" customFormat="1" ht="30" x14ac:dyDescent="0.25">
      <c r="A130" s="259" t="s">
        <v>1241</v>
      </c>
      <c r="B130" s="1521">
        <v>2.5000000000000001E-2</v>
      </c>
    </row>
    <row r="131" spans="1:2" s="1520" customFormat="1" ht="30" x14ac:dyDescent="0.25">
      <c r="A131" s="259" t="s">
        <v>1242</v>
      </c>
      <c r="B131" s="1522">
        <v>0.05</v>
      </c>
    </row>
    <row r="132" spans="1:2" s="1520" customFormat="1" ht="30" x14ac:dyDescent="0.25">
      <c r="A132" s="259" t="s">
        <v>1246</v>
      </c>
      <c r="B132" s="1521">
        <v>2.5000000000000001E-2</v>
      </c>
    </row>
    <row r="133" spans="1:2" s="1520" customFormat="1" ht="30" x14ac:dyDescent="0.25">
      <c r="A133" s="259" t="s">
        <v>1247</v>
      </c>
      <c r="B133" s="1521">
        <v>7.4999999999999997E-2</v>
      </c>
    </row>
    <row r="134" spans="1:2" s="1520" customFormat="1" x14ac:dyDescent="0.25">
      <c r="A134" s="259" t="s">
        <v>1243</v>
      </c>
      <c r="B134" s="1522">
        <v>7.0000000000000007E-2</v>
      </c>
    </row>
    <row r="135" spans="1:2" s="1520" customFormat="1" x14ac:dyDescent="0.25">
      <c r="A135" s="259" t="s">
        <v>1244</v>
      </c>
      <c r="B135" s="1521">
        <v>7.4999999999999997E-2</v>
      </c>
    </row>
    <row r="136" spans="1:2" s="1520" customFormat="1" x14ac:dyDescent="0.25">
      <c r="A136" s="259" t="s">
        <v>1245</v>
      </c>
      <c r="B136" s="1521">
        <v>8.5000000000000006E-2</v>
      </c>
    </row>
    <row r="137" spans="1:2" s="1520" customFormat="1" ht="30" x14ac:dyDescent="0.25">
      <c r="A137" s="259" t="s">
        <v>2123</v>
      </c>
      <c r="B137" s="1522">
        <v>0.09</v>
      </c>
    </row>
    <row r="138" spans="1:2" s="1520" customFormat="1" ht="30" x14ac:dyDescent="0.25">
      <c r="A138" s="259" t="s">
        <v>2124</v>
      </c>
      <c r="B138" s="1522">
        <v>0.1</v>
      </c>
    </row>
    <row r="139" spans="1:2" s="1520" customFormat="1" ht="30" x14ac:dyDescent="0.25">
      <c r="A139" s="259" t="s">
        <v>2122</v>
      </c>
      <c r="B139" s="1521">
        <v>0.08</v>
      </c>
    </row>
    <row r="140" spans="1:2" s="1520" customFormat="1" ht="30" x14ac:dyDescent="0.25">
      <c r="A140" s="259" t="s">
        <v>2125</v>
      </c>
      <c r="B140" s="1522">
        <v>0.12</v>
      </c>
    </row>
  </sheetData>
  <sheetProtection password="ECB1" sheet="1" objects="1" scenarios="1"/>
  <mergeCells count="27">
    <mergeCell ref="A20:F20"/>
    <mergeCell ref="D45:F45"/>
    <mergeCell ref="D76:F76"/>
    <mergeCell ref="A81:F81"/>
    <mergeCell ref="A88:F88"/>
    <mergeCell ref="A95:F95"/>
    <mergeCell ref="A102:F102"/>
    <mergeCell ref="D21:F21"/>
    <mergeCell ref="A22:F22"/>
    <mergeCell ref="A42:F42"/>
    <mergeCell ref="A46:F46"/>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topLeftCell="C1" zoomScale="90" zoomScaleNormal="90" workbookViewId="0">
      <pane ySplit="1" topLeftCell="A356" activePane="bottomLeft" state="frozen"/>
      <selection pane="bottomLeft" activeCell="D73" sqref="D73"/>
    </sheetView>
  </sheetViews>
  <sheetFormatPr defaultColWidth="0" defaultRowHeight="15" zeroHeight="1" x14ac:dyDescent="0.25"/>
  <cols>
    <col min="1" max="1" width="0.7109375" style="1329" customWidth="1"/>
    <col min="2" max="2" width="5" style="1329"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710937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4"/>
      <c r="B1" s="1323"/>
      <c r="C1" s="1271" t="s">
        <v>2501</v>
      </c>
      <c r="D1" s="1774" t="s">
        <v>2502</v>
      </c>
      <c r="E1" s="1933" t="s">
        <v>1570</v>
      </c>
      <c r="F1" s="1981"/>
      <c r="G1" s="1981"/>
      <c r="H1" s="1981"/>
      <c r="I1" s="1981"/>
      <c r="J1" s="1981"/>
      <c r="K1" s="1981"/>
      <c r="L1" s="1981"/>
      <c r="M1" s="1981"/>
      <c r="N1" s="1981"/>
      <c r="O1" s="1981"/>
      <c r="P1" s="1981"/>
      <c r="Q1" s="1981"/>
      <c r="R1" s="1981"/>
      <c r="S1" s="1981"/>
      <c r="T1" s="1981"/>
      <c r="U1" s="1981"/>
      <c r="V1" s="1981"/>
      <c r="W1" s="1981"/>
      <c r="X1" s="1981"/>
      <c r="Y1" s="1981"/>
      <c r="Z1" s="1251"/>
      <c r="AA1" s="14"/>
      <c r="AB1" s="14"/>
      <c r="AC1" s="14"/>
      <c r="AD1" s="14"/>
      <c r="AE1" s="14"/>
      <c r="AF1" s="14"/>
      <c r="AG1" s="14"/>
      <c r="AH1" s="14"/>
    </row>
    <row r="2" spans="1:34" s="13" customFormat="1" ht="15" customHeight="1" x14ac:dyDescent="0.25">
      <c r="A2" s="1324"/>
      <c r="B2" s="1324"/>
      <c r="C2" s="21"/>
      <c r="D2" s="21"/>
      <c r="E2" s="14" t="s">
        <v>1662</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4"/>
      <c r="B3" s="1324"/>
      <c r="C3" s="1990" t="s">
        <v>1663</v>
      </c>
      <c r="D3" s="1991"/>
      <c r="E3" s="9" t="s">
        <v>2439</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4"/>
      <c r="B4" s="1324"/>
      <c r="C4" s="1990"/>
      <c r="D4" s="1991"/>
      <c r="E4" s="1852" t="s">
        <v>2440</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4"/>
      <c r="B5" s="1324"/>
      <c r="C5" s="1990"/>
      <c r="D5" s="1991"/>
      <c r="E5" s="18" t="s">
        <v>1660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4"/>
      <c r="B6" s="1324"/>
      <c r="C6" s="1981"/>
      <c r="D6" s="1991"/>
      <c r="E6" s="1257" t="s">
        <v>1374</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4"/>
      <c r="B7" s="1324"/>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4"/>
      <c r="B8" s="1325">
        <v>0.125</v>
      </c>
      <c r="C8" s="1996" t="s">
        <v>755</v>
      </c>
      <c r="D8" s="1997"/>
      <c r="E8" s="1998"/>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4"/>
      <c r="B9" s="1326">
        <v>1</v>
      </c>
      <c r="C9" s="1566" t="s">
        <v>1708</v>
      </c>
      <c r="D9" s="1635" t="s">
        <v>2507</v>
      </c>
      <c r="E9" s="1636" t="s">
        <v>2155</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4"/>
      <c r="B10" s="1411">
        <f t="shared" ref="B10:B15" si="0">B9+1</f>
        <v>2</v>
      </c>
      <c r="C10" s="1575" t="s">
        <v>752</v>
      </c>
      <c r="D10" s="1591" t="s">
        <v>619</v>
      </c>
      <c r="E10" s="1592"/>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4"/>
      <c r="B11" s="1411">
        <f t="shared" si="0"/>
        <v>3</v>
      </c>
      <c r="C11" s="1593" t="s">
        <v>753</v>
      </c>
      <c r="D11" s="1591" t="s">
        <v>253</v>
      </c>
      <c r="E11" s="1592"/>
      <c r="F11" s="1331"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4"/>
      <c r="B12" s="1411">
        <f t="shared" si="0"/>
        <v>4</v>
      </c>
      <c r="C12" s="1593" t="s">
        <v>805</v>
      </c>
      <c r="D12" s="1591">
        <v>1984</v>
      </c>
      <c r="E12" s="1592" t="s">
        <v>1664</v>
      </c>
      <c r="F12" s="1331"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4"/>
      <c r="B13" s="1411">
        <f t="shared" si="0"/>
        <v>5</v>
      </c>
      <c r="C13" s="1593" t="s">
        <v>1739</v>
      </c>
      <c r="D13" s="1591" t="str">
        <f>IF(ISBLANK(D12),
        INDEX(snipyear,1),
        IF(D12&lt;=1996,
                INDEX(snipyear,2),
                IF(D12&lt;2001,
                        INDEX(snipyear,3),
                        INDEX(snipyear,4))))</f>
        <v>до 1995 г.</v>
      </c>
      <c r="E13" s="1594" t="s">
        <v>2154</v>
      </c>
      <c r="F13" s="1331"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4"/>
      <c r="B14" s="1332">
        <f t="shared" si="0"/>
        <v>6</v>
      </c>
      <c r="C14" s="1593" t="s">
        <v>756</v>
      </c>
      <c r="D14" s="1623" t="s">
        <v>446</v>
      </c>
      <c r="E14" s="1622" t="s">
        <v>2151</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4"/>
      <c r="B15" s="2016">
        <f t="shared" si="0"/>
        <v>7</v>
      </c>
      <c r="C15" s="2031" t="s">
        <v>1150</v>
      </c>
      <c r="D15" s="1616" t="str">
        <f>IF(COUNTIF('Серии теплотехника'!A5:A33,'Ввод исходных данных'!D14)&gt;1,"выберите ниже",VLOOKUP('Ввод исходных данных'!D14,'Серии теплотехника'!A5:C39,3,0))</f>
        <v>выберите ниже</v>
      </c>
      <c r="E15" s="2021"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4"/>
      <c r="B16" s="2016"/>
      <c r="C16" s="2031"/>
      <c r="D16" s="1595" t="s">
        <v>1385</v>
      </c>
      <c r="E16" s="2021"/>
      <c r="F16" s="1331"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4"/>
      <c r="B17" s="1326">
        <f>B15+1</f>
        <v>8</v>
      </c>
      <c r="C17" s="1610" t="s">
        <v>1912</v>
      </c>
      <c r="D17" s="1615">
        <v>6</v>
      </c>
      <c r="E17" s="1985"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4"/>
      <c r="B18" s="1326">
        <f t="shared" ref="B18:B31" si="1">B17+1</f>
        <v>9</v>
      </c>
      <c r="C18" s="2032" t="s">
        <v>2150</v>
      </c>
      <c r="D18" s="1614"/>
      <c r="E18" s="1985"/>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4"/>
      <c r="B19" s="1326">
        <f t="shared" si="1"/>
        <v>10</v>
      </c>
      <c r="C19" s="2033"/>
      <c r="D19" s="1262">
        <v>5</v>
      </c>
      <c r="E19" s="1985"/>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4"/>
      <c r="B20" s="1326">
        <f t="shared" si="1"/>
        <v>11</v>
      </c>
      <c r="C20" s="1632" t="s">
        <v>2126</v>
      </c>
      <c r="D20" s="1633">
        <v>87</v>
      </c>
      <c r="E20" s="1985"/>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4"/>
      <c r="B21" s="1326">
        <f t="shared" si="1"/>
        <v>12</v>
      </c>
      <c r="C21" s="1610" t="s">
        <v>1913</v>
      </c>
      <c r="D21" s="1615">
        <v>83</v>
      </c>
      <c r="E21" s="1986"/>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4"/>
      <c r="B22" s="1326">
        <f t="shared" si="1"/>
        <v>13</v>
      </c>
      <c r="C22" s="1564" t="s">
        <v>1914</v>
      </c>
      <c r="D22" s="49">
        <v>246</v>
      </c>
      <c r="E22" s="1563"/>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4"/>
      <c r="B23" s="1326">
        <f t="shared" si="1"/>
        <v>14</v>
      </c>
      <c r="C23" s="1613" t="s">
        <v>1915</v>
      </c>
      <c r="D23" s="1589">
        <v>188.7</v>
      </c>
      <c r="E23" s="2034" t="s">
        <v>2141</v>
      </c>
      <c r="F23" s="1992"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1993"/>
      <c r="H23" s="1993"/>
      <c r="I23" s="1993"/>
      <c r="J23" s="1993"/>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4"/>
      <c r="B24" s="1326">
        <f t="shared" si="1"/>
        <v>15</v>
      </c>
      <c r="C24" s="1596" t="s">
        <v>1918</v>
      </c>
      <c r="D24" s="1261">
        <v>0</v>
      </c>
      <c r="E24" s="2035"/>
      <c r="F24" s="1994"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4"/>
      <c r="B25" s="1326">
        <f t="shared" si="1"/>
        <v>16</v>
      </c>
      <c r="C25" s="1596" t="s">
        <v>1916</v>
      </c>
      <c r="D25" s="1261">
        <v>157.4</v>
      </c>
      <c r="E25" s="2035"/>
      <c r="F25" s="1994"/>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4"/>
      <c r="B26" s="1326">
        <f t="shared" si="1"/>
        <v>17</v>
      </c>
      <c r="C26" s="1569" t="s">
        <v>1917</v>
      </c>
      <c r="D26" s="1262">
        <v>188.7</v>
      </c>
      <c r="E26" s="2036"/>
      <c r="F26" s="1994"/>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4"/>
      <c r="B27" s="1326">
        <f t="shared" si="1"/>
        <v>18</v>
      </c>
      <c r="C27" s="1612" t="s">
        <v>519</v>
      </c>
      <c r="D27" s="1611"/>
      <c r="E27" s="1385" t="s">
        <v>1665</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4"/>
      <c r="B28" s="1326">
        <f t="shared" si="1"/>
        <v>19</v>
      </c>
      <c r="C28" s="1583" t="s">
        <v>757</v>
      </c>
      <c r="D28" s="1598"/>
      <c r="E28" s="1599"/>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4"/>
      <c r="B29" s="1326">
        <f t="shared" si="1"/>
        <v>20</v>
      </c>
      <c r="C29" s="1982" t="s">
        <v>1390</v>
      </c>
      <c r="D29" s="1611"/>
      <c r="E29" s="1590"/>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4"/>
      <c r="B30" s="1326">
        <f t="shared" si="1"/>
        <v>21</v>
      </c>
      <c r="C30" s="1983"/>
      <c r="D30" s="1597"/>
      <c r="E30" s="1592"/>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4"/>
      <c r="B31" s="1326">
        <f t="shared" si="1"/>
        <v>22</v>
      </c>
      <c r="C31" s="1984"/>
      <c r="D31" s="1598"/>
      <c r="E31" s="1599"/>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4"/>
      <c r="B32" s="1326"/>
      <c r="C32" s="1600" t="s">
        <v>854</v>
      </c>
      <c r="D32" s="1601">
        <f>D33+D34+D35</f>
        <v>302</v>
      </c>
      <c r="E32" s="1385" t="s">
        <v>1407</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4"/>
      <c r="B33" s="1326">
        <f>B31+1</f>
        <v>23</v>
      </c>
      <c r="C33" s="1602" t="s">
        <v>760</v>
      </c>
      <c r="D33" s="1603">
        <v>266</v>
      </c>
      <c r="E33" s="1985"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4"/>
      <c r="B34" s="1326">
        <f>B33+1</f>
        <v>24</v>
      </c>
      <c r="C34" s="1602" t="s">
        <v>761</v>
      </c>
      <c r="D34" s="1604">
        <v>12</v>
      </c>
      <c r="E34" s="1985"/>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4"/>
      <c r="B35" s="1326">
        <f>B34+1</f>
        <v>25</v>
      </c>
      <c r="C35" s="1608" t="s">
        <v>1510</v>
      </c>
      <c r="D35" s="1609">
        <v>24</v>
      </c>
      <c r="E35" s="2022"/>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4"/>
      <c r="B36" s="1326">
        <f>B35+1</f>
        <v>26</v>
      </c>
      <c r="C36" s="1605" t="s">
        <v>1773</v>
      </c>
      <c r="D36" s="1606"/>
      <c r="E36" s="1607"/>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4"/>
      <c r="B37" s="1308"/>
      <c r="C37" s="1247"/>
      <c r="D37" s="1247"/>
      <c r="E37" s="1247"/>
      <c r="F37" s="1308"/>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4"/>
      <c r="B38" s="1308"/>
      <c r="C38" s="2026" t="s">
        <v>2391</v>
      </c>
      <c r="D38" s="2026"/>
      <c r="E38" s="2026"/>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4"/>
      <c r="B39" s="1327"/>
      <c r="C39" s="1255"/>
      <c r="D39" s="1270" t="s">
        <v>2503</v>
      </c>
      <c r="E39" s="1256"/>
      <c r="F39" s="1309"/>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4"/>
      <c r="B40" s="1308"/>
      <c r="C40" s="1987"/>
      <c r="D40" s="1987"/>
      <c r="E40" s="1987"/>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08"/>
      <c r="C41" s="2028"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29"/>
      <c r="E41" s="2030"/>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6">
        <v>27</v>
      </c>
      <c r="C42" s="1914" t="s">
        <v>2146</v>
      </c>
      <c r="D42" s="1775" t="s">
        <v>759</v>
      </c>
      <c r="E42" s="2037" t="str">
        <f>IF('Ввод исходных данных'!D42=INDEX(SposobRascheta,3),
"При ориентировочном расчёте недоступен расчет суммы финансовой поддержки за счёт средств Фонда ЖКХ.",
"")</f>
        <v/>
      </c>
      <c r="F42" s="1773"/>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08"/>
      <c r="C43" s="14"/>
      <c r="D43" s="1637"/>
      <c r="E43" s="2038"/>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08"/>
      <c r="C44" s="2027" t="s">
        <v>2470</v>
      </c>
      <c r="D44" s="2027"/>
      <c r="E44" s="2027"/>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6">
        <v>28</v>
      </c>
      <c r="C45" s="1584" t="s">
        <v>1993</v>
      </c>
      <c r="D45" s="1639"/>
      <c r="E45" s="1617" t="s">
        <v>2142</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6">
        <f>B45+1</f>
        <v>29</v>
      </c>
      <c r="C46" s="1585" t="s">
        <v>1994</v>
      </c>
      <c r="D46" s="1638"/>
      <c r="E46" s="1618" t="s">
        <v>1995</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6">
        <f t="shared" si="2"/>
        <v>30</v>
      </c>
      <c r="C47" s="1585" t="s">
        <v>816</v>
      </c>
      <c r="D47" s="1638"/>
      <c r="E47" s="1618" t="s">
        <v>1995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6">
        <f t="shared" si="2"/>
        <v>31</v>
      </c>
      <c r="C48" s="1588" t="s">
        <v>1515</v>
      </c>
      <c r="D48" s="1640"/>
      <c r="E48" s="1619" t="s">
        <v>1995</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6">
        <f t="shared" si="2"/>
        <v>32</v>
      </c>
      <c r="C49" s="1644"/>
      <c r="D49" s="1587"/>
      <c r="E49" s="1617" t="s">
        <v>1996</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6">
        <f t="shared" si="2"/>
        <v>33</v>
      </c>
      <c r="C50" s="1645"/>
      <c r="D50" s="1586"/>
      <c r="E50" s="1620" t="s">
        <v>1997</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6">
        <f t="shared" si="2"/>
        <v>34</v>
      </c>
      <c r="C51" s="1641" t="str">
        <f>IF(AND(списки!D38=1,списки!D39=1),"Так не бывает! Выберите что-то одно.","")</f>
        <v/>
      </c>
      <c r="D51" s="1642"/>
      <c r="E51" s="1643"/>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4"/>
      <c r="B52" s="1308"/>
      <c r="C52" s="1247"/>
      <c r="D52" s="1621" t="str">
        <f>IF(AND(D42="Ориентировочный",OR(D45="",D46="",D47="",C51&lt;&gt;"")),"Неполный/неверный ввод!",IF(AND(D42="Ориентировочный",D42=INDEX(SposobRascheta,3)),"Введено верно",""))</f>
        <v/>
      </c>
      <c r="E52" s="1247"/>
      <c r="F52" s="1308"/>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4"/>
      <c r="B53" s="1325">
        <f>2/8</f>
        <v>0.25</v>
      </c>
      <c r="C53" s="1996" t="s">
        <v>2471</v>
      </c>
      <c r="D53" s="1997"/>
      <c r="E53" s="1998"/>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4"/>
      <c r="B54" s="1308"/>
      <c r="C54" s="1915"/>
      <c r="D54" s="1915"/>
      <c r="E54" s="1916"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4"/>
      <c r="B55" s="1326">
        <v>35</v>
      </c>
      <c r="C55" s="1819" t="s">
        <v>1919</v>
      </c>
      <c r="D55" s="1905">
        <v>5769</v>
      </c>
      <c r="E55" s="1580" t="s">
        <v>1666</v>
      </c>
      <c r="F55" s="1310"/>
      <c r="G55" s="1249">
        <f>IF(D42="Ориентировочный",D45,IF($D$14=списки!$B$3,D55,'Серии планировка'!F76))</f>
        <v>5769</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4"/>
      <c r="B56" s="1326">
        <f>B55+1</f>
        <v>36</v>
      </c>
      <c r="C56" s="1820" t="s">
        <v>1920</v>
      </c>
      <c r="D56" s="1906">
        <v>4330.1000000000004</v>
      </c>
      <c r="E56" s="1581" t="s">
        <v>1667</v>
      </c>
      <c r="F56" s="1310"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4330.1000000000004</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4"/>
      <c r="B57" s="1326">
        <f t="shared" ref="B57:B77" si="3">B56+1</f>
        <v>37</v>
      </c>
      <c r="C57" s="1821" t="s">
        <v>1921</v>
      </c>
      <c r="D57" s="1906">
        <v>2952.9</v>
      </c>
      <c r="E57" s="1581" t="s">
        <v>1668</v>
      </c>
      <c r="F57" s="1310"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2952.9</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4"/>
      <c r="B58" s="1326">
        <f>B57+1</f>
        <v>38</v>
      </c>
      <c r="C58" s="1821" t="s">
        <v>1922</v>
      </c>
      <c r="D58" s="1907">
        <v>92.5</v>
      </c>
      <c r="E58" s="1581" t="s">
        <v>1774</v>
      </c>
      <c r="F58" s="1310"/>
      <c r="G58" s="1249">
        <f>IF(D42="Ориентировочный",'Серии планировка'!C98,IF($D$14=списки!$B$3,D58,'Серии планировка'!$L$76))</f>
        <v>92.5</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4"/>
      <c r="B59" s="1326">
        <f t="shared" si="3"/>
        <v>39</v>
      </c>
      <c r="C59" s="1821" t="s">
        <v>1923</v>
      </c>
      <c r="D59" s="1907">
        <v>12</v>
      </c>
      <c r="E59" s="1581" t="s">
        <v>1775</v>
      </c>
      <c r="F59" s="1310"/>
      <c r="G59" s="1249">
        <f>IF(D42="Ориентировочный",'Серии планировка'!C99,IF($D$14=списки!$B$3,D59,'Серии планировка'!$M$76))</f>
        <v>12</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4"/>
      <c r="B60" s="1326">
        <f t="shared" si="3"/>
        <v>40</v>
      </c>
      <c r="C60" s="1821" t="s">
        <v>1924</v>
      </c>
      <c r="D60" s="1907">
        <v>13.65</v>
      </c>
      <c r="E60" s="1581" t="s">
        <v>1776</v>
      </c>
      <c r="F60" s="1310"/>
      <c r="G60" s="1249">
        <f>IF(D42="Ориентировочный",'Серии планировка'!C100,IF($D$14=списки!$B$3,D60,'Серии планировка'!$J$76))</f>
        <v>13.65</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4"/>
      <c r="B61" s="1326">
        <f t="shared" si="3"/>
        <v>41</v>
      </c>
      <c r="C61" s="1821" t="s">
        <v>1925</v>
      </c>
      <c r="D61" s="1907">
        <v>2852.85</v>
      </c>
      <c r="E61" s="1581" t="s">
        <v>2024</v>
      </c>
      <c r="F61" s="1310"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2852.85</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4"/>
      <c r="B62" s="1326">
        <f t="shared" si="3"/>
        <v>42</v>
      </c>
      <c r="C62" s="1820" t="s">
        <v>1926</v>
      </c>
      <c r="D62" s="1582">
        <f>D61-D64-D67-D70-D77</f>
        <v>2066.65</v>
      </c>
      <c r="E62" s="1781" t="s">
        <v>1669</v>
      </c>
      <c r="F62" s="1310" t="str">
        <f>IF(AND(D62&lt;&gt;0,$D$14="нет в списке",D62&gt;=D61),"Ошибка. Значение должно быть меньше площади фасадов","")</f>
        <v/>
      </c>
      <c r="G62" s="1249">
        <f>G61-G64-G67-G70-G77</f>
        <v>2066.65</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4"/>
      <c r="B63" s="1326">
        <f t="shared" si="3"/>
        <v>43</v>
      </c>
      <c r="C63" s="1820" t="s">
        <v>816</v>
      </c>
      <c r="D63" s="1908">
        <v>284</v>
      </c>
      <c r="E63" s="1581" t="s">
        <v>1670</v>
      </c>
      <c r="F63" s="1310"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284</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4"/>
      <c r="B64" s="1326">
        <f t="shared" si="3"/>
        <v>44</v>
      </c>
      <c r="C64" s="1820" t="s">
        <v>1927</v>
      </c>
      <c r="D64" s="1909">
        <v>732</v>
      </c>
      <c r="E64" s="1581" t="s">
        <v>1671</v>
      </c>
      <c r="F64" s="1310"/>
      <c r="G64" s="1249">
        <f>IF(D42="Ориентировочный",'Серии планировка'!C86,IF($D$14=списки!$B$3,D64,'Серии планировка'!T76))</f>
        <v>732</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4"/>
      <c r="B65" s="1326">
        <f t="shared" si="3"/>
        <v>45</v>
      </c>
      <c r="C65" s="1821" t="s">
        <v>1940</v>
      </c>
      <c r="D65" s="1910" t="s">
        <v>2506</v>
      </c>
      <c r="E65" s="1581" t="s">
        <v>1672</v>
      </c>
      <c r="F65" s="1310"/>
      <c r="G65" s="1249">
        <f>'Серии теплотехника'!B46</f>
        <v>0.52</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4"/>
      <c r="B66" s="1326">
        <f t="shared" si="3"/>
        <v>46</v>
      </c>
      <c r="C66" s="1821" t="s">
        <v>1934</v>
      </c>
      <c r="D66" s="1910">
        <v>24</v>
      </c>
      <c r="E66" s="1581" t="s">
        <v>1746</v>
      </c>
      <c r="F66" s="1310"/>
      <c r="G66" s="1249">
        <f>IF(D42="Ориентировочный",D46,IF($D$14=списки!$B$3,D66,'Серии планировка'!R76))</f>
        <v>24</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4"/>
      <c r="B67" s="1326">
        <f t="shared" si="3"/>
        <v>47</v>
      </c>
      <c r="C67" s="1822" t="s">
        <v>1928</v>
      </c>
      <c r="D67" s="1911">
        <v>19.2</v>
      </c>
      <c r="E67" s="1581" t="s">
        <v>1673</v>
      </c>
      <c r="F67" s="1310"/>
      <c r="G67" s="1249">
        <f>IF(D42="Ориентировочный",'Серии планировка'!C88,IF($D$14=списки!$B$3,D67,'Серии планировка'!U76))</f>
        <v>19.2</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4"/>
      <c r="B68" s="1326">
        <f t="shared" si="3"/>
        <v>48</v>
      </c>
      <c r="C68" s="1821" t="s">
        <v>1933</v>
      </c>
      <c r="D68" s="1910" t="s">
        <v>2506</v>
      </c>
      <c r="E68" s="1581" t="s">
        <v>2357</v>
      </c>
      <c r="F68" s="1310"/>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4"/>
      <c r="B69" s="1326">
        <f>B68+1</f>
        <v>49</v>
      </c>
      <c r="C69" s="1821" t="s">
        <v>1515</v>
      </c>
      <c r="D69" s="1912">
        <v>12</v>
      </c>
      <c r="E69" s="1581" t="s">
        <v>1674</v>
      </c>
      <c r="F69" s="1310"/>
      <c r="G69" s="1249">
        <f>IF(D42="Ориентировочный",D48,IF($D$14=списки!$B$3,D69,ROUND((G63+G66)/D19*D23/('Серии планировка'!F76/'Серии планировка'!D76),0)))</f>
        <v>12</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4"/>
      <c r="B70" s="1326">
        <f>B69+1</f>
        <v>50</v>
      </c>
      <c r="C70" s="1821" t="s">
        <v>1929</v>
      </c>
      <c r="D70" s="1911">
        <v>23</v>
      </c>
      <c r="E70" s="1581" t="s">
        <v>1673</v>
      </c>
      <c r="F70" s="1310"/>
      <c r="G70" s="1249">
        <f>IF(D42="Ориентировочный",'Серии планировка'!C90,IF($D$14=списки!$B$3,D70,(G64+G67)/D19*D23/('Серии планировка'!F76/'Серии планировка'!D76)))</f>
        <v>23</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4"/>
      <c r="B71" s="1326">
        <f t="shared" si="3"/>
        <v>51</v>
      </c>
      <c r="C71" s="1821" t="s">
        <v>1932</v>
      </c>
      <c r="D71" s="1911">
        <v>1110</v>
      </c>
      <c r="E71" s="1581" t="s">
        <v>1935</v>
      </c>
      <c r="F71" s="1310"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1110</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4"/>
      <c r="B72" s="1326">
        <f t="shared" si="3"/>
        <v>52</v>
      </c>
      <c r="C72" s="1821" t="s">
        <v>1930</v>
      </c>
      <c r="D72" s="1911"/>
      <c r="E72" s="1581" t="s">
        <v>1936</v>
      </c>
      <c r="F72" s="1310"/>
      <c r="G72" s="1249">
        <f>IF(D42="Ориентировочный",'Серии планировка'!C92,IF($D$14=списки!$B$3,D72,IF(AND(списки!D31=1,списки!D32=0),'Серии планировка'!X76,0)))</f>
        <v>0</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4"/>
      <c r="B73" s="1326">
        <f t="shared" si="3"/>
        <v>53</v>
      </c>
      <c r="C73" s="1821" t="s">
        <v>1931</v>
      </c>
      <c r="D73" s="1911"/>
      <c r="E73" s="1581" t="s">
        <v>1937</v>
      </c>
      <c r="F73" s="1310"/>
      <c r="G73" s="1249">
        <f>IF(D42="Ориентировочный",'Серии планировка'!C93,IF($D$14=списки!$B$3,D73,IF(AND(списки!D31=1,списки!D32=1),'Серии планировка'!X76,0)))</f>
        <v>0</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4"/>
      <c r="B74" s="1326">
        <f t="shared" si="3"/>
        <v>54</v>
      </c>
      <c r="C74" s="1821" t="s">
        <v>2352</v>
      </c>
      <c r="D74" s="1911">
        <v>811.2</v>
      </c>
      <c r="E74" s="1581" t="s">
        <v>1938</v>
      </c>
      <c r="F74" s="1310"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811.2</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4"/>
      <c r="B75" s="1326">
        <f t="shared" si="3"/>
        <v>55</v>
      </c>
      <c r="C75" s="1821" t="s">
        <v>1941</v>
      </c>
      <c r="D75" s="1911"/>
      <c r="E75" s="1581" t="s">
        <v>1939</v>
      </c>
      <c r="F75" s="1310"/>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4"/>
      <c r="B76" s="1326">
        <f t="shared" si="3"/>
        <v>56</v>
      </c>
      <c r="C76" s="1821" t="s">
        <v>1299</v>
      </c>
      <c r="D76" s="1912">
        <v>6</v>
      </c>
      <c r="E76" s="2017" t="s">
        <v>1745</v>
      </c>
      <c r="F76" s="1310"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6</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4"/>
      <c r="B77" s="1326">
        <f t="shared" si="3"/>
        <v>57</v>
      </c>
      <c r="C77" s="1823" t="s">
        <v>1946</v>
      </c>
      <c r="D77" s="1913">
        <v>12</v>
      </c>
      <c r="E77" s="2018"/>
      <c r="F77" s="1310"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12</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4"/>
      <c r="B78" s="1308"/>
      <c r="C78" s="1995" t="str">
        <f>IFERROR(IF(D23/G55&gt;0.1,"Доля площади нежилых помещений более 10%. Оценка потенциала не будет надежной."&amp;CHAR(10)&amp;"(см. подробнее в руководстве)",""),"")</f>
        <v/>
      </c>
      <c r="D78" s="1995"/>
      <c r="E78" s="1311"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4"/>
      <c r="B79" s="1308"/>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4"/>
      <c r="B80" s="1308"/>
      <c r="C80" s="1996" t="s">
        <v>2472</v>
      </c>
      <c r="D80" s="1997"/>
      <c r="E80" s="1998"/>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4"/>
      <c r="B81" s="1326">
        <f>B77+1</f>
        <v>58</v>
      </c>
      <c r="C81" s="1817" t="s">
        <v>514</v>
      </c>
      <c r="D81" s="1923"/>
      <c r="E81" s="2023" t="s">
        <v>2156</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4"/>
      <c r="B82" s="1326">
        <f t="shared" ref="B82:B87" si="5">B81+1</f>
        <v>59</v>
      </c>
      <c r="C82" s="1824" t="s">
        <v>1506</v>
      </c>
      <c r="D82" s="1864"/>
      <c r="E82" s="2024"/>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4"/>
      <c r="B83" s="1326">
        <f t="shared" si="5"/>
        <v>60</v>
      </c>
      <c r="C83" s="1824" t="s">
        <v>1507</v>
      </c>
      <c r="D83" s="1864"/>
      <c r="E83" s="2024"/>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4"/>
      <c r="B84" s="1326">
        <f t="shared" si="5"/>
        <v>61</v>
      </c>
      <c r="C84" s="1824" t="s">
        <v>1511</v>
      </c>
      <c r="D84" s="1864"/>
      <c r="E84" s="2024"/>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4"/>
      <c r="B85" s="1326">
        <f t="shared" si="5"/>
        <v>62</v>
      </c>
      <c r="C85" s="1824" t="s">
        <v>1508</v>
      </c>
      <c r="D85" s="1864"/>
      <c r="E85" s="2024"/>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4"/>
      <c r="B86" s="1326">
        <f t="shared" si="5"/>
        <v>63</v>
      </c>
      <c r="C86" s="1824" t="s">
        <v>1509</v>
      </c>
      <c r="D86" s="1864"/>
      <c r="E86" s="2024"/>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4"/>
      <c r="B87" s="1326">
        <f t="shared" si="5"/>
        <v>64</v>
      </c>
      <c r="C87" s="1825" t="s">
        <v>1516</v>
      </c>
      <c r="D87" s="1924"/>
      <c r="E87" s="2025"/>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4"/>
      <c r="B88" s="1308"/>
      <c r="C88" s="1904" t="s">
        <v>2427</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4"/>
      <c r="B89" s="1308"/>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4"/>
      <c r="B90" s="1325">
        <f>3/8</f>
        <v>0.375</v>
      </c>
      <c r="C90" s="1989" t="s">
        <v>2478</v>
      </c>
      <c r="D90" s="1989"/>
      <c r="E90" s="1989"/>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4"/>
      <c r="B91" s="1308"/>
      <c r="C91" s="2020" t="s">
        <v>763</v>
      </c>
      <c r="D91" s="2020"/>
      <c r="E91" s="2020"/>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4"/>
      <c r="B92" s="1308"/>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4"/>
      <c r="B93" s="1308"/>
      <c r="C93" s="2019" t="s">
        <v>2428</v>
      </c>
      <c r="D93" s="2019"/>
      <c r="E93" s="2019"/>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4"/>
      <c r="B94" s="1326">
        <f>B87+1</f>
        <v>65</v>
      </c>
      <c r="C94" s="1826" t="s">
        <v>2461</v>
      </c>
      <c r="D94" s="1853"/>
      <c r="E94" s="1577" t="s">
        <v>2143</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4"/>
      <c r="B95" s="1326">
        <f>B94+1</f>
        <v>66</v>
      </c>
      <c r="C95" s="1822" t="s">
        <v>2462</v>
      </c>
      <c r="D95" s="1854"/>
      <c r="E95" s="1578" t="s">
        <v>2144</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4"/>
      <c r="B96" s="1326">
        <f>B95+1</f>
        <v>67</v>
      </c>
      <c r="C96" s="1811" t="s">
        <v>2460</v>
      </c>
      <c r="D96" s="1855"/>
      <c r="E96" s="1579" t="s">
        <v>2145</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4"/>
      <c r="B97" s="1308"/>
      <c r="C97" s="1988" t="s">
        <v>2427</v>
      </c>
      <c r="D97" s="1988"/>
      <c r="E97" s="1988"/>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4"/>
      <c r="B98" s="1308"/>
      <c r="C98" s="1248" t="s">
        <v>762</v>
      </c>
      <c r="D98" s="1"/>
      <c r="E98" s="1248" t="s">
        <v>1675</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4"/>
      <c r="B99" s="1326">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4"/>
      <c r="B100" s="1308"/>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4"/>
      <c r="B101" s="1308"/>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4"/>
      <c r="B102" s="1308"/>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4"/>
      <c r="B103" s="1308"/>
      <c r="C103" s="1"/>
      <c r="D103" s="1" t="str">
        <f>IF(SUM('Система отопления'!C4:C19)=0,"Не то","")</f>
        <v>Не то</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4"/>
      <c r="B104" s="1308"/>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4"/>
      <c r="B105" s="1308"/>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4"/>
      <c r="B106" s="1308"/>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4"/>
      <c r="B107" s="1308"/>
      <c r="C107" s="2011" t="s">
        <v>781</v>
      </c>
      <c r="D107" s="2011"/>
      <c r="E107" s="2011"/>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4"/>
      <c r="B108" s="1308"/>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4"/>
      <c r="B109" s="1308"/>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4"/>
      <c r="B110" s="1326">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4"/>
      <c r="B111" s="1308"/>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4"/>
      <c r="B112" s="1308"/>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4"/>
      <c r="B113" s="1308"/>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4"/>
      <c r="B114" s="1308"/>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4"/>
      <c r="B115" s="1308"/>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4"/>
      <c r="B116" s="1308"/>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4"/>
      <c r="B117" s="1308"/>
      <c r="C117" s="2009" t="s">
        <v>2429</v>
      </c>
      <c r="D117" s="2009"/>
      <c r="E117" s="2009"/>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4"/>
      <c r="B118" s="1326">
        <f>D110+1</f>
        <v>72</v>
      </c>
      <c r="C118" s="1856" t="s">
        <v>2153</v>
      </c>
      <c r="D118" s="1857"/>
      <c r="E118" s="1792" t="s">
        <v>2434</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4"/>
      <c r="B119" s="1326">
        <f t="shared" ref="B119:B122" si="6">B118+1</f>
        <v>73</v>
      </c>
      <c r="C119" s="1810" t="s">
        <v>2436</v>
      </c>
      <c r="D119" s="1858"/>
      <c r="E119" s="1793" t="s">
        <v>2430</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4"/>
      <c r="B120" s="1326">
        <f t="shared" si="6"/>
        <v>74</v>
      </c>
      <c r="C120" s="1822" t="s">
        <v>2437</v>
      </c>
      <c r="D120" s="1858"/>
      <c r="E120" s="1793" t="s">
        <v>2431</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4"/>
      <c r="B121" s="1326">
        <f>B120+1</f>
        <v>75</v>
      </c>
      <c r="C121" s="1827" t="s">
        <v>2435</v>
      </c>
      <c r="D121" s="1858"/>
      <c r="E121" s="1793" t="s">
        <v>2432</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4"/>
      <c r="B122" s="1326">
        <f t="shared" si="6"/>
        <v>76</v>
      </c>
      <c r="C122" s="1811" t="s">
        <v>2129</v>
      </c>
      <c r="D122" s="1859"/>
      <c r="E122" s="1794" t="s">
        <v>2433</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4"/>
      <c r="B123" s="1308"/>
      <c r="C123" s="1988" t="s">
        <v>2427</v>
      </c>
      <c r="D123" s="1988"/>
      <c r="E123" s="1988"/>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4"/>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4"/>
      <c r="B125" s="50"/>
      <c r="C125" s="2009" t="s">
        <v>2403</v>
      </c>
      <c r="D125" s="2009"/>
      <c r="E125" s="2009"/>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4"/>
      <c r="B126" s="50"/>
      <c r="C126" s="1829" t="s">
        <v>2454</v>
      </c>
      <c r="D126" s="1829" t="s">
        <v>2402</v>
      </c>
      <c r="E126" s="2006" t="s">
        <v>2475</v>
      </c>
      <c r="F126" s="1994"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4"/>
      <c r="B127" s="1326">
        <f>B122+1</f>
        <v>77</v>
      </c>
      <c r="C127" s="1826" t="str">
        <f>INDEX(Months,1)</f>
        <v>Апрель</v>
      </c>
      <c r="D127" s="1260"/>
      <c r="E127" s="2007"/>
      <c r="F127" s="199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4"/>
      <c r="B128" s="1326">
        <f>B127+1</f>
        <v>78</v>
      </c>
      <c r="C128" s="1828" t="str">
        <f>INDEX(Months,2)</f>
        <v>Май</v>
      </c>
      <c r="D128" s="1261"/>
      <c r="E128" s="2007"/>
      <c r="F128" s="199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4"/>
      <c r="B129" s="1326">
        <f t="shared" ref="B129:B132" si="7">B128+1</f>
        <v>79</v>
      </c>
      <c r="C129" s="1828" t="str">
        <f>INDEX(Months,3)</f>
        <v>Июнь</v>
      </c>
      <c r="D129" s="1261"/>
      <c r="E129" s="2007"/>
      <c r="F129" s="199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4"/>
      <c r="B130" s="1326">
        <f t="shared" si="7"/>
        <v>80</v>
      </c>
      <c r="C130" s="1828" t="str">
        <f>INDEX(Months,4)</f>
        <v>Июль</v>
      </c>
      <c r="D130" s="1261">
        <v>13</v>
      </c>
      <c r="E130" s="2007"/>
      <c r="F130" s="199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4"/>
      <c r="B131" s="1326">
        <f t="shared" si="7"/>
        <v>81</v>
      </c>
      <c r="C131" s="1828" t="str">
        <f>INDEX(Months,5)</f>
        <v>Август</v>
      </c>
      <c r="D131" s="1261"/>
      <c r="E131" s="2007"/>
      <c r="F131" s="199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4"/>
      <c r="B132" s="1326">
        <f t="shared" si="7"/>
        <v>82</v>
      </c>
      <c r="C132" s="1818" t="str">
        <f>INDEX(Months,6)</f>
        <v>Сентябрь</v>
      </c>
      <c r="D132" s="1262"/>
      <c r="E132" s="2008"/>
      <c r="F132" s="199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10"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10"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10"/>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4"/>
      <c r="B135" s="1326">
        <f>B132+1</f>
        <v>83</v>
      </c>
      <c r="C135" s="1248" t="s">
        <v>1393</v>
      </c>
      <c r="D135" s="14"/>
      <c r="E135" s="2015"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Циркуляционные трубопроводы (укажите если неизвестен циркуляционный расход горячей воды)</v>
      </c>
      <c r="F135" s="2015"/>
      <c r="G135" s="1932" t="s">
        <v>2504</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4"/>
      <c r="B136" s="1308"/>
      <c r="C136" s="1917"/>
      <c r="D136" s="1258"/>
      <c r="E136" s="1830" t="s">
        <v>2494</v>
      </c>
      <c r="F136" s="1830" t="s">
        <v>2492</v>
      </c>
      <c r="G136" s="1830" t="s">
        <v>2493</v>
      </c>
      <c r="H136" s="1"/>
      <c r="I136" s="14"/>
      <c r="J136" s="14"/>
      <c r="K136" s="14"/>
      <c r="L136" s="14"/>
      <c r="M136" s="14"/>
      <c r="N136" s="14"/>
      <c r="O136" s="14"/>
      <c r="P136" s="1926">
        <v>15</v>
      </c>
      <c r="Q136" s="1926">
        <v>20</v>
      </c>
      <c r="R136" s="1926">
        <v>25</v>
      </c>
      <c r="S136" s="1926">
        <v>32</v>
      </c>
      <c r="T136" s="1926">
        <v>40</v>
      </c>
      <c r="U136" s="1926">
        <v>50</v>
      </c>
      <c r="V136" s="1926">
        <v>70</v>
      </c>
      <c r="W136" s="14"/>
      <c r="X136" s="14"/>
      <c r="Y136" s="14"/>
      <c r="Z136" s="14"/>
      <c r="AA136" s="14"/>
      <c r="AB136" s="14"/>
      <c r="AC136" s="14"/>
      <c r="AD136" s="14"/>
      <c r="AE136" s="14"/>
      <c r="AF136" s="14"/>
      <c r="AG136" s="14"/>
      <c r="AH136" s="14"/>
    </row>
    <row r="137" spans="1:34" ht="18.75" customHeight="1" x14ac:dyDescent="0.25">
      <c r="A137" s="1324"/>
      <c r="B137" s="1308"/>
      <c r="C137" s="1917"/>
      <c r="D137" s="1258" t="s">
        <v>2483</v>
      </c>
      <c r="E137" s="1929" t="s">
        <v>2488</v>
      </c>
      <c r="F137" s="1863">
        <v>150</v>
      </c>
      <c r="G137" s="1863">
        <v>50</v>
      </c>
      <c r="H137" s="1926">
        <f>IF(AND('Система ГВС'!$G$17=TRUE,CGVS=1,G137&gt;0,OR(списки!$C$33=TRUE,списки!$C$34=TRUE),G137&lt;=100),
IF('Система ГВС'!$G$18&gt;1,
N("Закрытая система отопления")+
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
N("Открытая система отопления")+
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25.5</v>
      </c>
      <c r="I137" s="14"/>
      <c r="J137" s="14"/>
      <c r="K137" s="16"/>
      <c r="L137" s="14"/>
      <c r="M137" s="14"/>
      <c r="N137" s="14"/>
      <c r="O137" s="14"/>
      <c r="P137" s="1926">
        <v>10.9</v>
      </c>
      <c r="Q137" s="1926">
        <v>12.1</v>
      </c>
      <c r="R137" s="1926">
        <v>13.3</v>
      </c>
      <c r="S137" s="1926">
        <v>15.1</v>
      </c>
      <c r="T137" s="1926">
        <v>16.7</v>
      </c>
      <c r="U137" s="1926">
        <v>18.8</v>
      </c>
      <c r="V137" s="1926">
        <v>23</v>
      </c>
      <c r="W137" s="14"/>
      <c r="X137" s="14"/>
      <c r="Y137" s="14"/>
      <c r="Z137" s="14"/>
      <c r="AA137" s="14"/>
      <c r="AB137" s="14"/>
      <c r="AC137" s="14"/>
      <c r="AD137" s="14"/>
      <c r="AE137" s="14"/>
      <c r="AF137" s="14"/>
      <c r="AG137" s="14"/>
      <c r="AH137" s="14"/>
    </row>
    <row r="138" spans="1:34" ht="18.75" customHeight="1" x14ac:dyDescent="0.25">
      <c r="A138" s="1324"/>
      <c r="B138" s="1308"/>
      <c r="C138" s="1917"/>
      <c r="D138" s="1258" t="s">
        <v>2484</v>
      </c>
      <c r="E138" s="1930" t="s">
        <v>2489</v>
      </c>
      <c r="F138" s="1858"/>
      <c r="G138" s="1858"/>
      <c r="H138" s="1926">
        <f>IF(AND('Система ГВС'!$G$17=TRUE,CGVS=1,списки!$C$32=TRUE,G138&gt;0,G138&lt;=100),
IF('Система ГВС'!$G$18&gt;1,
N("Закрытая система отопления")+
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
N("Открытая система отопления")+
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14"/>
      <c r="J138" s="14"/>
      <c r="K138" s="14"/>
      <c r="L138" s="14"/>
      <c r="M138" s="14"/>
      <c r="N138" s="14"/>
      <c r="O138" s="14"/>
      <c r="P138" s="1926">
        <v>14.8</v>
      </c>
      <c r="Q138" s="1926">
        <v>16.399999999999999</v>
      </c>
      <c r="R138" s="1926">
        <v>18</v>
      </c>
      <c r="S138" s="1926">
        <v>20.5</v>
      </c>
      <c r="T138" s="1926">
        <v>22.6</v>
      </c>
      <c r="U138" s="1926">
        <v>25.5</v>
      </c>
      <c r="V138" s="1926">
        <v>29.6</v>
      </c>
      <c r="W138" s="14"/>
      <c r="X138" s="14"/>
      <c r="Y138" s="14"/>
      <c r="Z138" s="14"/>
      <c r="AA138" s="14"/>
      <c r="AB138" s="14"/>
      <c r="AC138" s="14"/>
      <c r="AD138" s="14"/>
      <c r="AE138" s="14"/>
      <c r="AF138" s="14"/>
      <c r="AG138" s="14"/>
      <c r="AH138" s="14"/>
    </row>
    <row r="139" spans="1:34" ht="18.75" customHeight="1" x14ac:dyDescent="0.25">
      <c r="A139" s="1324"/>
      <c r="B139" s="1308"/>
      <c r="C139" s="1917"/>
      <c r="D139" s="1258" t="s">
        <v>2485</v>
      </c>
      <c r="E139" s="1930" t="s">
        <v>2491</v>
      </c>
      <c r="F139" s="1858">
        <v>603</v>
      </c>
      <c r="G139" s="1858">
        <v>22.5</v>
      </c>
      <c r="H139" s="1926">
        <f>IF(AND('Система ГВС'!$G$17=TRUE,CGVS=1,G139&gt;0,G139&lt;=100),
IF('Система ГВС'!$G$18&gt;1,
N("Закрытая система отопления")+
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
N("Открытая система отопления")+
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36.200000000000003</v>
      </c>
      <c r="I139" s="14"/>
      <c r="J139" s="14"/>
      <c r="K139" s="14"/>
      <c r="L139" s="14"/>
      <c r="M139" s="14"/>
      <c r="N139" s="14"/>
      <c r="O139" s="14"/>
      <c r="P139" s="1926">
        <v>9</v>
      </c>
      <c r="Q139" s="1926">
        <v>10</v>
      </c>
      <c r="R139" s="1926">
        <v>11</v>
      </c>
      <c r="S139" s="1926">
        <v>12.3</v>
      </c>
      <c r="T139" s="1926">
        <v>13.8</v>
      </c>
      <c r="U139" s="1926">
        <v>15.6</v>
      </c>
      <c r="V139" s="1926">
        <v>19.100000000000001</v>
      </c>
      <c r="W139" s="14"/>
      <c r="X139" s="14"/>
      <c r="Y139" s="14"/>
      <c r="Z139" s="14"/>
      <c r="AA139" s="14"/>
      <c r="AB139" s="14"/>
      <c r="AC139" s="14"/>
      <c r="AD139" s="14"/>
      <c r="AE139" s="14"/>
      <c r="AF139" s="14"/>
      <c r="AG139" s="14"/>
      <c r="AH139" s="14"/>
    </row>
    <row r="140" spans="1:34" ht="18.75" customHeight="1" x14ac:dyDescent="0.25">
      <c r="A140" s="1324"/>
      <c r="B140" s="1308"/>
      <c r="C140" s="1917"/>
      <c r="D140" s="1258" t="s">
        <v>2486</v>
      </c>
      <c r="E140" s="1930" t="s">
        <v>2490</v>
      </c>
      <c r="F140" s="1858"/>
      <c r="G140" s="1858"/>
      <c r="H140" s="1926">
        <f>IF(AND('Система ГВС'!$G$17=TRUE,CGVS=1,G140&gt;0,G140&lt;=100),
IF('Система ГВС'!$G$18&gt;1,
N("Закрытая система отопления")+
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
N("Открытая система отопления")+
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14"/>
      <c r="J140" s="14"/>
      <c r="K140" s="14"/>
      <c r="L140" s="14"/>
      <c r="M140" s="14"/>
      <c r="N140" s="14"/>
      <c r="O140" s="14"/>
      <c r="P140" s="1926">
        <v>12</v>
      </c>
      <c r="Q140" s="1926">
        <v>13.4</v>
      </c>
      <c r="R140" s="1926">
        <v>14.8</v>
      </c>
      <c r="S140" s="1926">
        <v>16.899999999999999</v>
      </c>
      <c r="T140" s="1926">
        <v>18.600000000000001</v>
      </c>
      <c r="U140" s="1926">
        <v>21</v>
      </c>
      <c r="V140" s="1926">
        <v>25.7</v>
      </c>
      <c r="W140" s="14"/>
      <c r="X140" s="14"/>
      <c r="Y140" s="14"/>
      <c r="Z140" s="14"/>
      <c r="AA140" s="14"/>
      <c r="AB140" s="14"/>
      <c r="AC140" s="14"/>
      <c r="AD140" s="14"/>
      <c r="AE140" s="14"/>
      <c r="AF140" s="14"/>
      <c r="AG140" s="14"/>
      <c r="AH140" s="14"/>
    </row>
    <row r="141" spans="1:34" ht="18.75" customHeight="1" x14ac:dyDescent="0.25">
      <c r="A141" s="1324"/>
      <c r="B141" s="1308"/>
      <c r="C141" s="1917"/>
      <c r="D141" s="1258" t="s">
        <v>2487</v>
      </c>
      <c r="E141" s="1931" t="s">
        <v>2495</v>
      </c>
      <c r="F141" s="1859"/>
      <c r="G141" s="1859"/>
      <c r="H141" s="1926">
        <f>IF(AND('Система ГВС'!$G$17=TRUE,CGVS=1,G141&gt;0,G141&lt;=100),
IF('Система ГВС'!$G$18&gt;1,
IF('Система ГВС'!$G$15=TRUE,
N("Закрытая система отопления и Изолированные стояки")+
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
N("Закрытая система отопления и Неизолированные стояки")+
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
IF('Система ГВС'!$G$15=TRUE,
N("Открытая система отопления и Изолированные стояки")+
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
N("Открытая система отопления и Неизолированные стояки")+
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14"/>
      <c r="J141" s="14"/>
      <c r="K141" s="14"/>
      <c r="L141" s="14"/>
      <c r="M141" s="14"/>
      <c r="N141" s="14"/>
      <c r="O141" s="14"/>
      <c r="P141" s="1926">
        <v>20</v>
      </c>
      <c r="Q141" s="1926">
        <v>24.6</v>
      </c>
      <c r="R141" s="1926">
        <v>29.2</v>
      </c>
      <c r="S141" s="1926">
        <v>36.6</v>
      </c>
      <c r="T141" s="1926">
        <v>43</v>
      </c>
      <c r="U141" s="1926">
        <v>52</v>
      </c>
      <c r="V141" s="1926">
        <v>72</v>
      </c>
      <c r="W141" s="14"/>
      <c r="X141" s="14"/>
      <c r="Y141" s="14"/>
      <c r="Z141" s="14"/>
      <c r="AA141" s="14"/>
      <c r="AB141" s="14"/>
      <c r="AC141" s="14"/>
      <c r="AD141" s="14"/>
      <c r="AE141" s="14"/>
      <c r="AF141" s="14"/>
      <c r="AG141" s="14"/>
      <c r="AH141" s="14"/>
    </row>
    <row r="142" spans="1:34" s="13" customFormat="1" ht="19.5" customHeight="1" x14ac:dyDescent="0.25">
      <c r="A142" s="1324"/>
      <c r="B142" s="1308"/>
      <c r="C142" s="14"/>
      <c r="D142" s="14"/>
      <c r="E142" s="1904"/>
      <c r="F142" s="1927" t="str">
        <f>IF(OR(SUMPRODUCT(F137:F141,H137:H141)=0,'Система ГВС'!$G$17=FALSE),"","Теплопотери в циркуляционном трубопроводе ГВС, Гкал/год &gt;")</f>
        <v>Теплопотери в циркуляционном трубопроводе ГВС, Гкал/год &gt;</v>
      </c>
      <c r="G142" s="1928">
        <f>IF(OR(SUMPRODUCT(F137:F141,H137:H141)=0,'Система ГВС'!$G$17=FALSE),"",SUMPRODUCT(F137:F141,H137:H141)*(SUM(J273:J284)-SUM(D127:D132))*0.000024+N("0,000024 = 24 часа/сут * 10^-6 Гкал/ккал"))</f>
        <v>216.72161280000003</v>
      </c>
      <c r="H142" s="14"/>
      <c r="I142" s="14"/>
      <c r="J142" s="14"/>
      <c r="K142" s="14"/>
      <c r="L142" s="14"/>
      <c r="M142" s="14"/>
      <c r="N142" s="14"/>
      <c r="O142" s="14"/>
      <c r="P142" s="1926">
        <v>26.9</v>
      </c>
      <c r="Q142" s="1926">
        <v>33.1</v>
      </c>
      <c r="R142" s="1926">
        <v>39.299999999999997</v>
      </c>
      <c r="S142" s="1926">
        <v>49.2</v>
      </c>
      <c r="T142" s="1926">
        <v>57.8</v>
      </c>
      <c r="U142" s="1926">
        <v>69.900000000000006</v>
      </c>
      <c r="V142" s="1926">
        <v>96.8</v>
      </c>
      <c r="W142" s="14"/>
      <c r="X142" s="14"/>
      <c r="Y142" s="14"/>
      <c r="Z142" s="14"/>
      <c r="AA142" s="14"/>
      <c r="AB142" s="14"/>
      <c r="AC142" s="14"/>
      <c r="AD142" s="14"/>
      <c r="AE142" s="14"/>
      <c r="AF142" s="14"/>
      <c r="AG142" s="14"/>
      <c r="AH142" s="14"/>
    </row>
    <row r="143" spans="1:34" x14ac:dyDescent="0.25">
      <c r="A143" s="1324"/>
      <c r="B143" s="1308"/>
      <c r="C143" s="1248" t="s">
        <v>786</v>
      </c>
      <c r="D143" s="1"/>
      <c r="E143" s="1"/>
      <c r="F143" s="50"/>
      <c r="G143" s="1"/>
      <c r="H143" s="14"/>
      <c r="I143" s="14"/>
      <c r="J143" s="14"/>
      <c r="K143" s="14"/>
      <c r="L143" s="14"/>
      <c r="M143" s="14"/>
      <c r="N143" s="14"/>
      <c r="O143" s="14"/>
      <c r="P143" s="1926">
        <v>23.5</v>
      </c>
      <c r="Q143" s="1926">
        <v>28.9</v>
      </c>
      <c r="R143" s="1926">
        <v>34.200000000000003</v>
      </c>
      <c r="S143" s="1926">
        <v>42.8</v>
      </c>
      <c r="T143" s="1926">
        <v>50.3</v>
      </c>
      <c r="U143" s="1926">
        <v>60.8</v>
      </c>
      <c r="V143" s="1926">
        <v>84.5</v>
      </c>
      <c r="W143" s="14"/>
      <c r="X143" s="14"/>
      <c r="Y143" s="14"/>
      <c r="Z143" s="14"/>
      <c r="AA143" s="14"/>
      <c r="AB143" s="14"/>
      <c r="AC143" s="14"/>
      <c r="AD143" s="14"/>
      <c r="AE143" s="14"/>
      <c r="AF143" s="14"/>
      <c r="AG143" s="14"/>
      <c r="AH143" s="14"/>
    </row>
    <row r="144" spans="1:34" ht="30" customHeight="1" x14ac:dyDescent="0.25">
      <c r="A144" s="1324"/>
      <c r="B144" s="1326">
        <f>B135+1</f>
        <v>84</v>
      </c>
      <c r="C144" s="6"/>
      <c r="D144" s="1"/>
      <c r="E144" s="1"/>
      <c r="F144" s="50"/>
      <c r="G144" s="14"/>
      <c r="H144" s="1"/>
      <c r="I144" s="14"/>
      <c r="J144" s="14"/>
      <c r="K144" s="14"/>
      <c r="L144" s="14"/>
      <c r="M144" s="14"/>
      <c r="N144" s="14"/>
      <c r="O144" s="14"/>
      <c r="P144" s="1926">
        <v>23.5</v>
      </c>
      <c r="Q144" s="1926">
        <v>28.9</v>
      </c>
      <c r="R144" s="1926">
        <v>34.200000000000003</v>
      </c>
      <c r="S144" s="1926">
        <v>42.8</v>
      </c>
      <c r="T144" s="1926">
        <v>50.3</v>
      </c>
      <c r="U144" s="1926">
        <v>60.8</v>
      </c>
      <c r="V144" s="1926">
        <v>84.5</v>
      </c>
      <c r="W144" s="14"/>
      <c r="X144" s="14"/>
      <c r="Y144" s="14"/>
      <c r="Z144" s="14"/>
      <c r="AA144" s="14"/>
      <c r="AB144" s="14"/>
      <c r="AC144" s="14"/>
      <c r="AD144" s="14"/>
      <c r="AE144" s="14"/>
      <c r="AF144" s="14"/>
      <c r="AG144" s="14"/>
      <c r="AH144" s="14"/>
    </row>
    <row r="145" spans="1:34" ht="30" customHeight="1" x14ac:dyDescent="0.25">
      <c r="A145" s="1324"/>
      <c r="B145" s="1326">
        <f>B144+1</f>
        <v>85</v>
      </c>
      <c r="C145" s="6"/>
      <c r="D145" s="1"/>
      <c r="E145" s="1"/>
      <c r="F145" s="50"/>
      <c r="G145" s="1"/>
      <c r="H145" s="1"/>
      <c r="I145" s="14"/>
      <c r="J145" s="14"/>
      <c r="K145" s="14"/>
      <c r="L145" s="14"/>
      <c r="M145" s="14"/>
      <c r="N145" s="14"/>
      <c r="O145" s="14"/>
      <c r="P145" s="1926">
        <v>9.4</v>
      </c>
      <c r="Q145" s="1926">
        <v>10.3</v>
      </c>
      <c r="R145" s="1926">
        <v>11.7</v>
      </c>
      <c r="S145" s="1926">
        <v>12.9</v>
      </c>
      <c r="T145" s="1926">
        <v>14.6</v>
      </c>
      <c r="U145" s="1926">
        <v>17.8</v>
      </c>
      <c r="V145" s="1926"/>
      <c r="W145" s="14"/>
      <c r="X145" s="14"/>
      <c r="Y145" s="14"/>
      <c r="Z145" s="14"/>
      <c r="AA145" s="14"/>
      <c r="AB145" s="14"/>
      <c r="AC145" s="14"/>
      <c r="AD145" s="14"/>
      <c r="AE145" s="14"/>
      <c r="AF145" s="14"/>
      <c r="AG145" s="14"/>
      <c r="AH145" s="14"/>
    </row>
    <row r="146" spans="1:34" x14ac:dyDescent="0.25">
      <c r="A146" s="1324"/>
      <c r="B146" s="1308"/>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4"/>
      <c r="J146" s="14"/>
      <c r="K146" s="14"/>
      <c r="L146" s="14"/>
      <c r="M146" s="14"/>
      <c r="N146" s="14"/>
      <c r="O146" s="14"/>
      <c r="P146" s="1926">
        <v>12.9</v>
      </c>
      <c r="Q146" s="1926">
        <v>14.1</v>
      </c>
      <c r="R146" s="1926">
        <v>16</v>
      </c>
      <c r="S146" s="1926">
        <v>17.7</v>
      </c>
      <c r="T146" s="1926">
        <v>20</v>
      </c>
      <c r="U146" s="1926">
        <v>24.4</v>
      </c>
      <c r="V146" s="1926"/>
      <c r="W146" s="14"/>
      <c r="X146" s="14"/>
      <c r="Y146" s="14"/>
      <c r="Z146" s="14"/>
      <c r="AA146" s="14"/>
      <c r="AB146" s="14"/>
      <c r="AC146" s="14"/>
      <c r="AD146" s="14"/>
      <c r="AE146" s="14"/>
      <c r="AF146" s="14"/>
      <c r="AG146" s="14"/>
      <c r="AH146" s="14"/>
    </row>
    <row r="147" spans="1:34" s="7" customFormat="1" ht="27" customHeight="1" x14ac:dyDescent="0.3">
      <c r="A147" s="1324"/>
      <c r="B147" s="1308"/>
      <c r="C147" s="2011" t="s">
        <v>965</v>
      </c>
      <c r="D147" s="2011"/>
      <c r="E147" s="2011"/>
      <c r="F147" s="50"/>
      <c r="G147" s="14"/>
      <c r="H147" s="14"/>
      <c r="I147" s="14"/>
      <c r="J147" s="14"/>
      <c r="K147" s="14"/>
      <c r="L147" s="14"/>
      <c r="M147" s="14"/>
      <c r="N147" s="14"/>
      <c r="O147" s="14"/>
      <c r="P147" s="1926">
        <v>23</v>
      </c>
      <c r="Q147" s="1926">
        <v>27.1</v>
      </c>
      <c r="R147" s="1926">
        <v>34</v>
      </c>
      <c r="S147" s="1926">
        <v>40</v>
      </c>
      <c r="T147" s="1926">
        <v>48.3</v>
      </c>
      <c r="U147" s="1926">
        <v>67.2</v>
      </c>
      <c r="V147" s="1926"/>
      <c r="W147" s="14"/>
      <c r="X147" s="14"/>
      <c r="Y147" s="14"/>
      <c r="Z147" s="14"/>
      <c r="AA147" s="14"/>
      <c r="AB147" s="14"/>
      <c r="AC147" s="14"/>
      <c r="AD147" s="14"/>
      <c r="AE147" s="14"/>
      <c r="AF147" s="14"/>
      <c r="AG147" s="14"/>
      <c r="AH147" s="14"/>
    </row>
    <row r="148" spans="1:34" s="13" customFormat="1" ht="22.5" customHeight="1" x14ac:dyDescent="0.25">
      <c r="A148" s="1324"/>
      <c r="B148" s="1308"/>
      <c r="C148" s="14"/>
      <c r="D148" s="14"/>
      <c r="E148" s="14"/>
      <c r="F148" s="50"/>
      <c r="G148" s="14"/>
      <c r="H148" s="14"/>
      <c r="I148" s="14"/>
      <c r="J148" s="14"/>
      <c r="K148" s="14"/>
      <c r="L148" s="14"/>
      <c r="M148" s="14"/>
      <c r="N148" s="14"/>
      <c r="O148" s="14"/>
      <c r="P148" s="1926">
        <v>31.5</v>
      </c>
      <c r="Q148" s="1926">
        <v>31.5</v>
      </c>
      <c r="R148" s="1926">
        <v>46.6</v>
      </c>
      <c r="S148" s="1926">
        <v>54.8</v>
      </c>
      <c r="T148" s="1926">
        <v>66.2</v>
      </c>
      <c r="U148" s="1926">
        <v>92.1</v>
      </c>
      <c r="V148" s="1926"/>
      <c r="W148" s="14"/>
      <c r="X148" s="14"/>
      <c r="Y148" s="14"/>
      <c r="Z148" s="14"/>
      <c r="AA148" s="14"/>
      <c r="AB148" s="14"/>
      <c r="AC148" s="14"/>
      <c r="AD148" s="14"/>
      <c r="AE148" s="14"/>
      <c r="AF148" s="14"/>
      <c r="AG148" s="14"/>
      <c r="AH148" s="14"/>
    </row>
    <row r="149" spans="1:34" s="7" customFormat="1" x14ac:dyDescent="0.25">
      <c r="A149" s="1324"/>
      <c r="B149" s="1308"/>
      <c r="C149" s="1999" t="s">
        <v>986</v>
      </c>
      <c r="D149" s="1999"/>
      <c r="E149" s="1999"/>
      <c r="F149" s="1999"/>
      <c r="G149" s="1999"/>
      <c r="H149" s="1999"/>
      <c r="I149" s="1999"/>
      <c r="J149" s="1999"/>
      <c r="K149" s="1999"/>
      <c r="L149" s="1999"/>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4"/>
      <c r="B150" s="1308"/>
      <c r="C150" s="1830" t="s">
        <v>1676</v>
      </c>
      <c r="D150" s="1830" t="s">
        <v>1951</v>
      </c>
      <c r="E150" s="1830" t="s">
        <v>969</v>
      </c>
      <c r="F150" s="1830" t="s">
        <v>1950</v>
      </c>
      <c r="G150" s="1830" t="s">
        <v>974</v>
      </c>
      <c r="H150" s="2012" t="s">
        <v>2438</v>
      </c>
      <c r="I150" s="2013"/>
      <c r="J150" s="2013"/>
      <c r="K150" s="2013"/>
      <c r="L150" s="2014"/>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4"/>
      <c r="B151" s="1326">
        <f>B145+1</f>
        <v>86</v>
      </c>
      <c r="C151" s="1826" t="s">
        <v>1679</v>
      </c>
      <c r="D151" s="1260">
        <v>6</v>
      </c>
      <c r="E151" s="1571" t="s">
        <v>970</v>
      </c>
      <c r="F151" s="1260">
        <v>75</v>
      </c>
      <c r="G151" s="1571" t="s">
        <v>467</v>
      </c>
      <c r="H151" s="1860"/>
      <c r="I151" s="2000" t="s">
        <v>2441</v>
      </c>
      <c r="J151" s="2001"/>
      <c r="K151" s="2001"/>
      <c r="L151" s="2002"/>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4"/>
      <c r="B152" s="1326">
        <f>B151+1</f>
        <v>87</v>
      </c>
      <c r="C152" s="1828" t="s">
        <v>1680</v>
      </c>
      <c r="D152" s="1261">
        <v>36</v>
      </c>
      <c r="E152" s="1572" t="s">
        <v>970</v>
      </c>
      <c r="F152" s="1261">
        <v>75</v>
      </c>
      <c r="G152" s="1572" t="s">
        <v>1153</v>
      </c>
      <c r="H152" s="1861"/>
      <c r="I152" s="2003" t="s">
        <v>2442</v>
      </c>
      <c r="J152" s="2004"/>
      <c r="K152" s="2004"/>
      <c r="L152" s="2005"/>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4"/>
      <c r="B153" s="1326">
        <f>B152+1</f>
        <v>88</v>
      </c>
      <c r="C153" s="1828" t="s">
        <v>1681</v>
      </c>
      <c r="D153" s="1261"/>
      <c r="E153" s="1572" t="s">
        <v>2407</v>
      </c>
      <c r="F153" s="1261"/>
      <c r="G153" s="1572" t="s">
        <v>467</v>
      </c>
      <c r="H153" s="1861"/>
      <c r="I153" s="2065" t="s">
        <v>2443</v>
      </c>
      <c r="J153" s="2065"/>
      <c r="K153" s="2065"/>
      <c r="L153" s="2065"/>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4"/>
      <c r="B154" s="1326">
        <f>B153+1</f>
        <v>89</v>
      </c>
      <c r="C154" s="1828" t="s">
        <v>1678</v>
      </c>
      <c r="D154" s="1261"/>
      <c r="E154" s="1572" t="s">
        <v>2407</v>
      </c>
      <c r="F154" s="1261"/>
      <c r="G154" s="1572" t="s">
        <v>467</v>
      </c>
      <c r="H154" s="1861"/>
      <c r="I154" s="2065" t="s">
        <v>2444</v>
      </c>
      <c r="J154" s="2065"/>
      <c r="K154" s="2065"/>
      <c r="L154" s="2065"/>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4"/>
      <c r="B155" s="1326">
        <f>B154+1</f>
        <v>90</v>
      </c>
      <c r="C155" s="1828" t="s">
        <v>1409</v>
      </c>
      <c r="D155" s="1261"/>
      <c r="E155" s="1572" t="s">
        <v>2407</v>
      </c>
      <c r="F155" s="1261"/>
      <c r="G155" s="1572" t="s">
        <v>467</v>
      </c>
      <c r="H155" s="1861"/>
      <c r="I155" s="2065" t="s">
        <v>2445</v>
      </c>
      <c r="J155" s="2065"/>
      <c r="K155" s="2065"/>
      <c r="L155" s="2065"/>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4"/>
      <c r="B156" s="1326">
        <f>B155+1</f>
        <v>91</v>
      </c>
      <c r="C156" s="1818" t="s">
        <v>1830</v>
      </c>
      <c r="D156" s="1262"/>
      <c r="E156" s="1574" t="s">
        <v>2407</v>
      </c>
      <c r="F156" s="1262"/>
      <c r="G156" s="1574" t="s">
        <v>467</v>
      </c>
      <c r="H156" s="1862"/>
      <c r="I156" s="2066" t="s">
        <v>2446</v>
      </c>
      <c r="J156" s="2066"/>
      <c r="K156" s="2066"/>
      <c r="L156" s="2066"/>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4"/>
      <c r="B157" s="1308"/>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4"/>
      <c r="B158" s="1308"/>
      <c r="C158" s="2088" t="s">
        <v>1410</v>
      </c>
      <c r="D158" s="2088"/>
      <c r="E158" s="2088"/>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4"/>
      <c r="B159" s="1326">
        <f>B156+1</f>
        <v>92</v>
      </c>
      <c r="C159" s="1817" t="s">
        <v>1947</v>
      </c>
      <c r="D159" s="1260"/>
      <c r="E159" s="2070"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4"/>
      <c r="B160" s="1326">
        <f>B159+1</f>
        <v>93</v>
      </c>
      <c r="C160" s="1831" t="s">
        <v>1953</v>
      </c>
      <c r="D160" s="1261"/>
      <c r="E160" s="2071"/>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4"/>
      <c r="B161" s="1326">
        <f>B160+1</f>
        <v>94</v>
      </c>
      <c r="C161" s="1824" t="s">
        <v>1948</v>
      </c>
      <c r="D161" s="1261"/>
      <c r="E161" s="2072"/>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4"/>
      <c r="B162" s="1326">
        <f>B161+1</f>
        <v>95</v>
      </c>
      <c r="C162" s="1818" t="s">
        <v>2450</v>
      </c>
      <c r="D162" s="1859"/>
      <c r="E162" s="1570" t="s">
        <v>2449</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4"/>
      <c r="B163" s="1308"/>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4"/>
      <c r="B164" s="1308"/>
      <c r="C164" s="2088" t="s">
        <v>1411</v>
      </c>
      <c r="D164" s="2088"/>
      <c r="E164" s="2088"/>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4"/>
      <c r="B165" s="1326">
        <f>B162+1</f>
        <v>96</v>
      </c>
      <c r="C165" s="1832" t="s">
        <v>1952</v>
      </c>
      <c r="D165" s="1260"/>
      <c r="E165" s="2067"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4"/>
      <c r="B166" s="1326">
        <f>B165+1</f>
        <v>97</v>
      </c>
      <c r="C166" s="1831" t="s">
        <v>1956</v>
      </c>
      <c r="D166" s="1261"/>
      <c r="E166" s="2068"/>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4"/>
      <c r="B167" s="1326">
        <f t="shared" ref="B167:B176" si="8">B166+1</f>
        <v>98</v>
      </c>
      <c r="C167" s="1824" t="s">
        <v>1954</v>
      </c>
      <c r="D167" s="1261"/>
      <c r="E167" s="2069"/>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4"/>
      <c r="B168" s="1326">
        <f t="shared" si="8"/>
        <v>99</v>
      </c>
      <c r="C168" s="1818" t="s">
        <v>2451</v>
      </c>
      <c r="D168" s="1859"/>
      <c r="E168" s="1330" t="str">
        <f ca="1">CONCATENATE(IF(D209&gt;0,CONCATENATE("По умолчанию ",D209*24," часов",CHAR(10),"С"),"По умолчанию с"),"оответствует продолжительности отопительного периода в часах")</f>
        <v>По умолчанию 5688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4"/>
      <c r="B169" s="1326">
        <f t="shared" si="8"/>
        <v>100</v>
      </c>
      <c r="C169" s="1832" t="s">
        <v>1955</v>
      </c>
      <c r="D169" s="1260"/>
      <c r="E169" s="2067"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xml:space="preserve">Вы отметили ранее наличие циркуляционного трубопровода ГВС. Значит, есть и насосы.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4"/>
      <c r="B170" s="1326">
        <f>B169+1</f>
        <v>101</v>
      </c>
      <c r="C170" s="1831" t="s">
        <v>1956</v>
      </c>
      <c r="D170" s="1261"/>
      <c r="E170" s="2068"/>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4"/>
      <c r="B171" s="1326">
        <f t="shared" si="8"/>
        <v>102</v>
      </c>
      <c r="C171" s="1824" t="s">
        <v>1954</v>
      </c>
      <c r="D171" s="1261"/>
      <c r="E171" s="2069"/>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4"/>
      <c r="B172" s="1326">
        <f t="shared" si="8"/>
        <v>103</v>
      </c>
      <c r="C172" s="1818" t="s">
        <v>2452</v>
      </c>
      <c r="D172" s="1865"/>
      <c r="E172" s="1330"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8448</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4"/>
      <c r="B173" s="1326">
        <f t="shared" si="8"/>
        <v>104</v>
      </c>
      <c r="C173" s="1832" t="s">
        <v>1957</v>
      </c>
      <c r="D173" s="1260"/>
      <c r="E173" s="2067"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4"/>
      <c r="B174" s="1326">
        <f>B173+1</f>
        <v>105</v>
      </c>
      <c r="C174" s="1831" t="s">
        <v>1956</v>
      </c>
      <c r="D174" s="1261"/>
      <c r="E174" s="2068"/>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4"/>
      <c r="B175" s="1326">
        <f t="shared" si="8"/>
        <v>106</v>
      </c>
      <c r="C175" s="1824" t="s">
        <v>1954</v>
      </c>
      <c r="D175" s="1261"/>
      <c r="E175" s="2069"/>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4"/>
      <c r="B176" s="1326">
        <f t="shared" si="8"/>
        <v>107</v>
      </c>
      <c r="C176" s="1818" t="s">
        <v>2451</v>
      </c>
      <c r="D176" s="1859"/>
      <c r="E176" s="1330" t="s">
        <v>2453</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4"/>
      <c r="B177" s="1308"/>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4"/>
      <c r="B178" s="1308"/>
      <c r="C178" s="2096" t="s">
        <v>1412</v>
      </c>
      <c r="D178" s="2096"/>
      <c r="E178" s="2096"/>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4"/>
      <c r="B179" s="1326">
        <f>B176+1</f>
        <v>108</v>
      </c>
      <c r="C179" s="1817" t="s">
        <v>1958</v>
      </c>
      <c r="D179" s="1260"/>
      <c r="E179" s="2093"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4"/>
      <c r="B180" s="1326">
        <f>B179+1</f>
        <v>109</v>
      </c>
      <c r="C180" s="1818" t="s">
        <v>1959</v>
      </c>
      <c r="D180" s="1262"/>
      <c r="E180" s="2094"/>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4"/>
      <c r="B181" s="1308"/>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4"/>
      <c r="B182" s="1308"/>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4"/>
      <c r="B183" s="1325">
        <f>4/8</f>
        <v>0.5</v>
      </c>
      <c r="C183" s="1989" t="s">
        <v>2479</v>
      </c>
      <c r="D183" s="1989"/>
      <c r="E183" s="1989"/>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4"/>
      <c r="B184" s="1308"/>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4"/>
      <c r="B185" s="1326">
        <f>B180+1</f>
        <v>110</v>
      </c>
      <c r="C185" s="1814" t="s">
        <v>1960</v>
      </c>
      <c r="D185" s="1863" t="str">
        <f>IF(AND(ISBLANK(D186),ISBLANK(D187),ISBLANK(D188)),"",SUM(D186:D188))</f>
        <v/>
      </c>
      <c r="E185" s="2006" t="s">
        <v>977</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4"/>
      <c r="B186" s="1326">
        <f>B185+1</f>
        <v>111</v>
      </c>
      <c r="C186" s="1815" t="s">
        <v>1961</v>
      </c>
      <c r="D186" s="1864"/>
      <c r="E186" s="2007"/>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4"/>
      <c r="B187" s="1326">
        <f>B186+1</f>
        <v>112</v>
      </c>
      <c r="C187" s="1815" t="s">
        <v>1962</v>
      </c>
      <c r="D187" s="1864"/>
      <c r="E187" s="2007"/>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4"/>
      <c r="B188" s="1326">
        <f>B187+1</f>
        <v>113</v>
      </c>
      <c r="C188" s="1816" t="s">
        <v>1963</v>
      </c>
      <c r="D188" s="1859"/>
      <c r="E188" s="2008"/>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4"/>
      <c r="B189" s="1308"/>
      <c r="C189" s="1904" t="s">
        <v>1530</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4"/>
      <c r="B190" s="1308"/>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4"/>
      <c r="B191" s="1326"/>
      <c r="C191" s="2098" t="s">
        <v>1682</v>
      </c>
      <c r="D191" s="2099"/>
      <c r="E191" s="2006" t="s">
        <v>977</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4"/>
      <c r="B192" s="1326">
        <f>B188+1</f>
        <v>114</v>
      </c>
      <c r="C192" s="1812" t="s">
        <v>2157</v>
      </c>
      <c r="D192" s="1863"/>
      <c r="E192" s="2007"/>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4"/>
      <c r="B193" s="1326">
        <f>B192+1</f>
        <v>115</v>
      </c>
      <c r="C193" s="1813" t="s">
        <v>2158</v>
      </c>
      <c r="D193" s="1859"/>
      <c r="E193" s="2008"/>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4"/>
      <c r="B194" s="1326"/>
      <c r="C194" s="1904" t="s">
        <v>1530</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4"/>
      <c r="B195" s="1326"/>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4"/>
      <c r="B196" s="1326"/>
      <c r="C196" s="2098" t="s">
        <v>978</v>
      </c>
      <c r="D196" s="2099"/>
      <c r="E196" s="2006" t="s">
        <v>977</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4"/>
      <c r="B197" s="1326">
        <f>B193+1</f>
        <v>116</v>
      </c>
      <c r="C197" s="1810" t="s">
        <v>2159</v>
      </c>
      <c r="D197" s="1567">
        <v>95</v>
      </c>
      <c r="E197" s="2007"/>
      <c r="F197" s="8"/>
      <c r="G197" s="1692"/>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4"/>
      <c r="B198" s="1326">
        <f>B197+1</f>
        <v>117</v>
      </c>
      <c r="C198" s="1811" t="s">
        <v>2160</v>
      </c>
      <c r="D198" s="1568">
        <v>70</v>
      </c>
      <c r="E198" s="2008"/>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4"/>
      <c r="B199" s="1324"/>
      <c r="C199" s="8"/>
      <c r="D199" s="1795"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4"/>
      <c r="B200" s="1324"/>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4"/>
      <c r="B201" s="1325">
        <f>5/8</f>
        <v>0.625</v>
      </c>
      <c r="C201" s="2055" t="s">
        <v>2477</v>
      </c>
      <c r="D201" s="2055"/>
      <c r="E201" s="2055"/>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4"/>
      <c r="B202" s="1326">
        <f>B198+1</f>
        <v>118</v>
      </c>
      <c r="C202" s="1809" t="s">
        <v>1709</v>
      </c>
      <c r="D202" s="1782" t="s">
        <v>721</v>
      </c>
      <c r="E202" s="1783">
        <v>2018</v>
      </c>
      <c r="F202" s="1786" t="str">
        <f ca="1">IFERROR(
IF(OR(ISBLANK(D202),ISBLANK(E202),D202=INDEX(Months12ext,1)),
        "Укажите месяц и год",
        IF(TODAY()&lt;EDATE(DATEVALUE(D202&amp;" "&amp;E202),1),
                    "Окончание периода оплаты позднее, чем сегодняшняя дата!","")),"")</f>
        <v/>
      </c>
      <c r="G202" s="1899"/>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4"/>
      <c r="B203" s="50"/>
      <c r="C203" s="50"/>
      <c r="D203" s="50"/>
      <c r="E203" s="1898"/>
      <c r="F203" s="1897" t="str">
        <f ca="1">IF(AND(MONTH(TODAY())&gt;3,E202&lt;&gt;YEAR(TODAY())),"Счета давно не выставляются","")</f>
        <v>Счета давно не выставляются</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4"/>
      <c r="B204" s="50"/>
      <c r="C204" s="50"/>
      <c r="D204" s="2089" t="s">
        <v>2469</v>
      </c>
      <c r="E204" s="2090"/>
      <c r="F204" s="1899"/>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4"/>
      <c r="B205" s="1324"/>
      <c r="C205" s="1901" t="s">
        <v>1712</v>
      </c>
      <c r="D205" s="1900" t="s">
        <v>1713</v>
      </c>
      <c r="E205" s="1900" t="s">
        <v>1714</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4"/>
      <c r="B206" s="1326">
        <f>B202+1</f>
        <v>119</v>
      </c>
      <c r="C206" s="1894" t="str">
        <f>CONCATENATE(E202-2,"/",E202-1," гг. ")</f>
        <v xml:space="preserve">2016/2017 гг. </v>
      </c>
      <c r="D206" s="1892" t="s">
        <v>1711</v>
      </c>
      <c r="E206" s="1888"/>
      <c r="F206" s="1918"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19"/>
      <c r="H206" s="1919"/>
      <c r="I206" s="1919"/>
      <c r="J206" s="1919"/>
      <c r="K206" s="1919"/>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4"/>
      <c r="B207" s="1326">
        <f>B206+1</f>
        <v>120</v>
      </c>
      <c r="C207" s="1894" t="str">
        <f>CONCATENATE(E202-1,"/",E202," гг. ")</f>
        <v xml:space="preserve">2017/2018 гг. </v>
      </c>
      <c r="D207" s="1891">
        <v>42997</v>
      </c>
      <c r="E207" s="1891">
        <v>43233</v>
      </c>
      <c r="F207" s="1902"/>
      <c r="G207" s="1903"/>
      <c r="H207" s="1903"/>
      <c r="I207" s="1903"/>
      <c r="J207" s="1903"/>
      <c r="K207" s="1903"/>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4"/>
      <c r="B208" s="1326">
        <f>B207+1</f>
        <v>121</v>
      </c>
      <c r="C208" s="1890" t="str">
        <f>CONCATENATE(E202,"/",E202+1," гг.* ")</f>
        <v xml:space="preserve">2018/2019 гг.* </v>
      </c>
      <c r="D208" s="1888"/>
      <c r="E208" s="1892" t="s">
        <v>1711</v>
      </c>
      <c r="F208" s="1918"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20"/>
      <c r="H208" s="1920"/>
      <c r="I208" s="1920"/>
      <c r="J208" s="1920"/>
      <c r="K208" s="1920"/>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4"/>
      <c r="B209" s="1324"/>
      <c r="C209" s="1890" t="s">
        <v>1973</v>
      </c>
      <c r="D209" s="2058">
        <f ca="1">SUM(I273:I284)</f>
        <v>237</v>
      </c>
      <c r="E209" s="2059"/>
      <c r="F209" s="1889"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4"/>
      <c r="B210" s="1324"/>
      <c r="C210" s="50"/>
      <c r="D210" s="1799" t="str">
        <f>IF(OR(YEAR(E207)&lt;&gt;E202,YEAR(D207)&lt;&gt;E202-1,E207&lt;D207,AND(IFERROR(MONTH(DATEVALUE(D202&amp;" "&amp;E202))&lt;7,FALSE),YEAR(E206)&lt;&gt;E202-1,E206&gt;D207),AND(NOT(ISBLANK(D208)),YEAR(D208)&lt;&gt;E202)),"Введите корректные даты отопительного периода! ","")</f>
        <v/>
      </c>
      <c r="E210" s="1895"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2"/>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4"/>
      <c r="B211" s="1326"/>
      <c r="C211" s="1886" t="s">
        <v>1368</v>
      </c>
      <c r="D211" s="1887">
        <f>IF(E207="",E206,E207)</f>
        <v>43233</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4"/>
      <c r="B212" s="1324"/>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4"/>
      <c r="B213" s="1325">
        <f>6/8</f>
        <v>0.75</v>
      </c>
      <c r="C213" s="2041" t="s">
        <v>2480</v>
      </c>
      <c r="D213" s="2041"/>
      <c r="E213" s="2041"/>
      <c r="F213" s="2041"/>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4"/>
      <c r="B214" s="1324"/>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4"/>
      <c r="B215" s="1324"/>
      <c r="C215" s="1798" t="s">
        <v>2454</v>
      </c>
      <c r="D215" s="2045" t="s">
        <v>1965</v>
      </c>
      <c r="E215" s="2046"/>
      <c r="F215" s="2047"/>
      <c r="G215" s="50"/>
      <c r="H215" s="50"/>
      <c r="I215" s="2087" t="s">
        <v>1458</v>
      </c>
      <c r="J215" s="2087"/>
      <c r="K215" s="2087"/>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324"/>
      <c r="B216" s="1324"/>
      <c r="C216" s="1800" t="s">
        <v>2458</v>
      </c>
      <c r="D216" s="1263" t="s">
        <v>2457</v>
      </c>
      <c r="E216" s="1263" t="s">
        <v>2456</v>
      </c>
      <c r="F216" s="1263" t="s">
        <v>2455</v>
      </c>
      <c r="G216" s="50"/>
      <c r="H216" s="50"/>
      <c r="I216" s="1833" t="s">
        <v>2496</v>
      </c>
      <c r="J216" s="1833" t="s">
        <v>981</v>
      </c>
      <c r="K216" s="1833" t="s">
        <v>982</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4"/>
      <c r="B217" s="1326">
        <f>B208+1</f>
        <v>122</v>
      </c>
      <c r="C217" s="1787" t="str">
        <f>INDEX(months12,1)&amp;IFERROR(IF(DATEVALUE("1 "&amp;INDEX(months12,1)&amp;" "&amp;E$202)&lt;=DATEVALUE("1 "&amp;D$202&amp;" "&amp;E$202)," "&amp;E$202," "&amp;E$202-1),"")</f>
        <v>январь 2018</v>
      </c>
      <c r="D217" s="1846">
        <v>185.15</v>
      </c>
      <c r="E217" s="1846"/>
      <c r="F217" s="1846"/>
      <c r="G217" s="1994" t="str">
        <f>IF(AND(F223=0,E223=0,D223&gt;1.3*(F242*(1+IF(списки!$B$59=списки!$Y$54,'Расчет базового уровня'!$D$178,0))*(списки!$C$59-списки!$C$61)/1000+IF(E242=0,SUMPRODUCT(F$137:F$141,H$137:H$141)*(J279-D130)*24*10^-6,E242*списки!$C$63/1000))),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2074"/>
      <c r="I217" s="1834">
        <f ca="1">IFERROR((1163/(D$56+D$23))*IF(IF(E273="",F273,G273)=0,IF(J217=0,"",J217/(IF(E273="",F273,G273)+10^-15)),J217/IF(E273="",F273,G273)),"-")</f>
        <v>3.8898088881206015E-2</v>
      </c>
      <c r="J217" s="1835">
        <f ca="1">ROUND(IF(AND(D217&lt;&gt;"",E217=""),D217-K217,E217),3)</f>
        <v>146.18</v>
      </c>
      <c r="K217" s="1835">
        <f ca="1">ROUND(IF('Система ГВС'!$F$3=2,0,IF(F217=0,F236*(1+IF(списки!$B$59=списки!$Y$54,'Расчет базового уровня'!$D$178,0))*(списки!$C$59-M273)/1000+IF(E236=0,SUMPRODUCT(F$137:F$141,H$137:H$141)*J273*24*10^-6,E236*списки!$C$63/1000),F217)),3)</f>
        <v>38.97</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4"/>
      <c r="B218" s="1326">
        <f>B217+1</f>
        <v>123</v>
      </c>
      <c r="C218" s="1788" t="str">
        <f>INDEX(months12,2)&amp;IFERROR(IF(DATEVALUE("1 "&amp;INDEX(months12,2)&amp;" "&amp;E$202)&lt;=DATEVALUE("1 "&amp;D$202&amp;" "&amp;E$202)," "&amp;E$202," "&amp;E$202-1),"")</f>
        <v>февраль 2018</v>
      </c>
      <c r="D218" s="1337">
        <v>164.5</v>
      </c>
      <c r="E218" s="1337"/>
      <c r="F218" s="1337"/>
      <c r="G218" s="1994"/>
      <c r="H218" s="2074"/>
      <c r="I218" s="1836">
        <f t="shared" ref="I218:I229" ca="1" si="9">IFERROR((1163/(D$56+D$23))*IF(IF(E274="",F274,G274)=0,IF(J218=0,"",J218/(IF(E274="",F274,G274)+10^-15)),J218/IF(E274="",F274,G274)),"-")</f>
        <v>3.7262924320233558E-2</v>
      </c>
      <c r="J218" s="1837">
        <f t="shared" ref="J218:J228" ca="1" si="10">ROUND(IF(AND(D218&lt;&gt;"",E218=""),D218-K218,E218),3)</f>
        <v>129.321</v>
      </c>
      <c r="K218" s="1837">
        <f ca="1">ROUND(IF('Система ГВС'!$F$3=2,0,IF(F218=0,F237*(1+IF(списки!$B$59=списки!$Y$54,'Расчет базового уровня'!$D$178,0))*(списки!$C$59-M274)/1000+IF(E237=0,SUMPRODUCT(F$137:F$141,H$137:H$141)*J274*24*10^-6,E237*списки!$C$63/1000),F218)),3)</f>
        <v>35.179000000000002</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4"/>
      <c r="B219" s="1326">
        <f t="shared" ref="B219:B228" si="11">B218+1</f>
        <v>124</v>
      </c>
      <c r="C219" s="1788" t="str">
        <f>INDEX(months12,3)&amp;IFERROR(IF(DATEVALUE("1 "&amp;INDEX(months12,3)&amp;" "&amp;E$202)&lt;=DATEVALUE("1 "&amp;D$202&amp;" "&amp;E$202)," "&amp;E$202," "&amp;E$202-1),"")</f>
        <v>март 2018</v>
      </c>
      <c r="D219" s="1337">
        <v>166.71</v>
      </c>
      <c r="E219" s="1337"/>
      <c r="F219" s="1337"/>
      <c r="G219" s="1994"/>
      <c r="H219" s="2074"/>
      <c r="I219" s="1836">
        <f t="shared" ca="1" si="9"/>
        <v>3.6723159519802741E-2</v>
      </c>
      <c r="J219" s="1837">
        <f t="shared" ca="1" si="10"/>
        <v>127.833</v>
      </c>
      <c r="K219" s="1837">
        <f ca="1">ROUND(IF('Система ГВС'!$F$3=2,0,IF(F219=0,F238*(1+IF(списки!$B$59=списки!$Y$54,'Расчет базового уровня'!$D$178,0))*(списки!$C$59-M275)/1000+IF(E238=0,SUMPRODUCT(F$137:F$141,H$137:H$141)*J275*24*10^-6,E238*списки!$C$63/1000),F219)),3)</f>
        <v>38.877000000000002</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4"/>
      <c r="B220" s="1326">
        <f t="shared" si="11"/>
        <v>125</v>
      </c>
      <c r="C220" s="1788" t="str">
        <f>INDEX(months12,4)&amp;IFERROR(IF(DATEVALUE("1 "&amp;INDEX(months12,4)&amp;" "&amp;E$202)&lt;=DATEVALUE("1 "&amp;D$202&amp;" "&amp;E$202)," "&amp;E$202," "&amp;E$202-1),"")</f>
        <v>апрель 2018</v>
      </c>
      <c r="D220" s="1337">
        <v>136.75</v>
      </c>
      <c r="E220" s="1337"/>
      <c r="F220" s="1337"/>
      <c r="G220" s="1994"/>
      <c r="H220" s="2074"/>
      <c r="I220" s="1836">
        <f t="shared" ca="1" si="9"/>
        <v>4.9355723572222919E-2</v>
      </c>
      <c r="J220" s="1837">
        <f t="shared" ca="1" si="10"/>
        <v>100.104</v>
      </c>
      <c r="K220" s="1837">
        <f ca="1">ROUND(IF('Система ГВС'!$F$3=2,0,IF(F220=0,F239*(1+IF(списки!$B$59=списки!$Y$54,'Расчет базового уровня'!$D$178,0))*(списки!$C$59-M276)/1000+IF(E239=0,SUMPRODUCT(F$137:F$141,H$137:H$141)*(J276-D127)*24*10^-6,E239*списки!$C$63/1000),F220)),3)</f>
        <v>36.646000000000001</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4"/>
      <c r="B221" s="1326">
        <f t="shared" si="11"/>
        <v>126</v>
      </c>
      <c r="C221" s="1788" t="str">
        <f>INDEX(months12,5)&amp;IFERROR(IF(DATEVALUE("1 "&amp;INDEX(months12,5)&amp;" "&amp;E$202)&lt;=DATEVALUE("1 "&amp;D$202&amp;" "&amp;E$202)," "&amp;E$202," "&amp;E$202-1),"")</f>
        <v>май 2018</v>
      </c>
      <c r="D221" s="1337">
        <v>65.92</v>
      </c>
      <c r="E221" s="1337"/>
      <c r="F221" s="1337"/>
      <c r="G221" s="1994"/>
      <c r="H221" s="2074"/>
      <c r="I221" s="1836">
        <f t="shared" ca="1" si="9"/>
        <v>4.6922037107650541E-2</v>
      </c>
      <c r="J221" s="1837">
        <f t="shared" ca="1" si="10"/>
        <v>28.440999999999999</v>
      </c>
      <c r="K221" s="1837">
        <f ca="1">ROUND(IF('Система ГВС'!$F$3=2,0,IF(F221=0,F240*(1+IF(списки!$B$59=списки!$Y$54,'Расчет базового уровня'!$D$178,0))*(списки!$C$59-M277)/1000+IF(E240=0,SUMPRODUCT(F$137:F$141,H$137:H$141)*(J277-D128)*24*10^-6,E240*списки!$C$63/1000),F221)),3)</f>
        <v>37.478999999999999</v>
      </c>
      <c r="L221" s="1425">
        <f>IF(AND(F221=0,SUM(E221)=0,D221&lt;&gt;"",D221&lt;&gt;0,OR(D221&gt;1.2*((F240*(1+IF(списки!$B$59=INDEX(TempWat,1),'Расчет базового уровня'!$D$178,0))*(списки!$C$59-списки!$C$61)/1000+IF(E240=0,SUMPRODUCT(F$137:F$141,H$137:H$141)*(J277-D128)*24*10^-6,E240*списки!$C$63/1000))),D221&lt;0.8*((F240*(1+IF(списки!$B$59=INDEX(TempWat,1),'Расчет базового уровня'!$D$178,0))*(списки!$C$59-списки!$C$61)/1000+IF(E240=0,SUMPRODUCT(F$137:F$141,H$137:H$141)*(J277-D128)*24*10^-6,E240*списки!$C$63/1000))))),1,0)</f>
        <v>1</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4"/>
      <c r="B222" s="1326">
        <f t="shared" si="11"/>
        <v>127</v>
      </c>
      <c r="C222" s="1788" t="str">
        <f>INDEX(months12,6)&amp;IFERROR(IF(DATEVALUE("1 "&amp;INDEX(months12,6)&amp;" "&amp;E$202)&lt;=DATEVALUE("1 "&amp;D$202&amp;" "&amp;E$202)," "&amp;E$202," "&amp;E$202-1),"")</f>
        <v>июнь 2018</v>
      </c>
      <c r="D222" s="1337">
        <v>28.29</v>
      </c>
      <c r="E222" s="1337"/>
      <c r="F222" s="1337"/>
      <c r="G222" s="1994"/>
      <c r="H222" s="2074"/>
      <c r="I222" s="1836">
        <f t="shared" ca="1" si="9"/>
        <v>-1265484420642648.2</v>
      </c>
      <c r="J222" s="1837">
        <f t="shared" ca="1" si="10"/>
        <v>-4.9169999999999998</v>
      </c>
      <c r="K222" s="1837">
        <f ca="1">ROUND(IF('Система ГВС'!$F$3=2,0,IF(F222=0,F241*(1+IF(списки!$B$59=списки!$Y$54,'Расчет базового уровня'!$D$178,0))*(списки!$C$59-M278)/1000+IF(E241=0,SUMPRODUCT(F$137:F$141,H$137:H$141)*(J278-D129)*24*10^-6,E241*списки!$C$63/1000),F222)),3)</f>
        <v>33.207000000000001</v>
      </c>
      <c r="L222" s="1425">
        <f>IF(AND(F222=0,SUM(E222)=0,D222&lt;&gt;"",D222&lt;&gt;0,OR(D222&gt;1.2*((F241*(1+IF(списки!$B$59=INDEX(TempWat,1),'Расчет базового уровня'!$D$178,0))*(списки!$C$59-списки!$C$61)/1000+IF(E241=0,SUMPRODUCT(F$137:F$141,H$137:H$141)*(J278-D129)*24*10^-6,E241*списки!$C$63/1000))),D222&lt;0.8*((F241*(1+IF(списки!$B$59=INDEX(TempWat,1),'Расчет базового уровня'!$D$178,0))*(списки!$C$59-списки!$C$61)/1000+IF(E241=0,SUMPRODUCT(F$137:F$141,H$137:H$141)*(J278-D129)*24*10^-6,E241*списки!$C$63/1000))))),1,0)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4"/>
      <c r="B223" s="1326">
        <f t="shared" si="11"/>
        <v>128</v>
      </c>
      <c r="C223" s="1788" t="str">
        <f>INDEX(months12,7)&amp;IFERROR(IF(DATEVALUE("1 "&amp;INDEX(months12,7)&amp;" "&amp;E$202)&lt;=DATEVALUE("1 "&amp;D$202&amp;" "&amp;E$202)," "&amp;E$202," "&amp;E$202-1),"")</f>
        <v>июль 2018</v>
      </c>
      <c r="D223" s="1337">
        <v>14.4</v>
      </c>
      <c r="E223" s="1337"/>
      <c r="F223" s="1337"/>
      <c r="G223" s="1994"/>
      <c r="H223" s="2074"/>
      <c r="I223" s="1836">
        <f t="shared" ca="1" si="9"/>
        <v>-1011718376560148.6</v>
      </c>
      <c r="J223" s="1837">
        <f t="shared" ca="1" si="10"/>
        <v>-3.931</v>
      </c>
      <c r="K223" s="1837">
        <f ca="1">ROUND(IF('Система ГВС'!$F$3=2,0,IF(F223=0,F242*(1+IF(списки!$B$59=списки!$Y$54,'Расчет базового уровня'!$D$178,0))*(списки!$C$59-M279)/1000+IF(E242=0,SUMPRODUCT(F$137:F$141,H$137:H$141)*(J279-D130)*24*10^-6,E242*списки!$C$63/1000),F223)),3)</f>
        <v>18.331</v>
      </c>
      <c r="L223" s="1425">
        <f>IF(AND(F223=0,SUM(E223)=0,D223&lt;&gt;"",D223&lt;&gt;0,OR(D223&gt;1.2*((F242*(1+IF(списки!$B$59=INDEX(TempWat,1),'Расчет базового уровня'!$D$178,0))*(списки!$C$59-списки!$C$61)/1000+IF(E242=0,SUMPRODUCT(F$137:F$141,H$137:H$141)*(J279-D130)*24*10^-6,E242*списки!$C$63/1000))),D223&lt;0.8*((F242*(1+IF(списки!$B$59=INDEX(TempWat,1),'Расчет базового уровня'!$D$178,0))*(списки!$C$59-списки!$C$61)/1000+IF(E242=0,SUMPRODUCT(F$137:F$141,H$137:H$141)*(J279-D130)*24*10^-6,E242*списки!$C$63/1000))))),1,0)</f>
        <v>1</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4"/>
      <c r="B224" s="1326">
        <f t="shared" si="11"/>
        <v>129</v>
      </c>
      <c r="C224" s="1788" t="str">
        <f>INDEX(months12,8)&amp;IFERROR(IF(DATEVALUE("1 "&amp;INDEX(months12,8)&amp;" "&amp;E$202)&lt;=DATEVALUE("1 "&amp;D$202&amp;" "&amp;E$202)," "&amp;E$202," "&amp;E$202-1),"")</f>
        <v>август 2018</v>
      </c>
      <c r="D224" s="1337">
        <v>25.12</v>
      </c>
      <c r="E224" s="1337"/>
      <c r="F224" s="1337"/>
      <c r="G224" s="1994"/>
      <c r="H224" s="2074"/>
      <c r="I224" s="1836">
        <f t="shared" ca="1" si="9"/>
        <v>-1547046339736213.2</v>
      </c>
      <c r="J224" s="1837">
        <f t="shared" ca="1" si="10"/>
        <v>-6.0110000000000001</v>
      </c>
      <c r="K224" s="1837">
        <f ca="1">ROUND(IF('Система ГВС'!$F$3=2,0,IF(F224=0,F243*(1+IF(списки!$B$59=списки!$Y$54,'Расчет базового уровня'!$D$178,0))*(списки!$C$59-M280)/1000+IF(E243=0,SUMPRODUCT(F$137:F$141,H$137:H$141)*(J280-D131)*24*10^-6,E243*списки!$C$63/1000),F224)),3)</f>
        <v>31.131</v>
      </c>
      <c r="L224" s="1425">
        <f>IF(AND(F224=0,SUM(E224)=0,D224&lt;&gt;"",D224&lt;&gt;0,OR(D224&gt;1.2*((F243*(1+IF(списки!$B$59=INDEX(TempWat,1),'Расчет базового уровня'!$D$178,0))*(списки!$C$59-списки!$C$61)/1000+IF(E243=0,SUMPRODUCT(F$137:F$141,H$137:H$141)*(J280-D131)*24*10^-6,E243*списки!$C$63/1000))),D224&lt;0.8*((F243*(1+IF(списки!$B$59=INDEX(TempWat,1),'Расчет базового уровня'!$D$178,0))*(списки!$C$59-списки!$C$61)/1000+IF(E243=0,SUMPRODUCT(F$137:F$141,H$137:H$141)*(J280-D131)*24*10^-6,E243*списки!$C$63/1000))))),1,0)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4"/>
      <c r="B225" s="1326">
        <f t="shared" si="11"/>
        <v>130</v>
      </c>
      <c r="C225" s="1788" t="str">
        <f>INDEX(months12,9)&amp;IFERROR(IF(DATEVALUE("1 "&amp;INDEX(months12,9)&amp;" "&amp;E$202)&lt;=DATEVALUE("1 "&amp;D$202&amp;" "&amp;E$202)," "&amp;E$202," "&amp;E$202-1),"")</f>
        <v>сентябрь 2017</v>
      </c>
      <c r="D225" s="1337">
        <v>68.09</v>
      </c>
      <c r="E225" s="1337"/>
      <c r="F225" s="1337"/>
      <c r="G225" s="1994"/>
      <c r="H225" s="2074"/>
      <c r="I225" s="1836">
        <f t="shared" ca="1" si="9"/>
        <v>6.1303916723220518E-2</v>
      </c>
      <c r="J225" s="1837">
        <f t="shared" ca="1" si="10"/>
        <v>34.299999999999997</v>
      </c>
      <c r="K225" s="1837">
        <f ca="1">ROUND(IF('Система ГВС'!$F$3=2,0,IF(F225=0,F244*(1+IF(списки!$B$59=списки!$Y$54,'Расчет базового уровня'!$D$178,0))*(списки!$C$59-M281)/1000+IF(E244=0,SUMPRODUCT(F$137:F$141,H$137:H$141)*(J281-D132)*24*10^-6,E244*списки!$C$63/1000),F225)),3)</f>
        <v>33.79</v>
      </c>
      <c r="L225" s="1425"/>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4"/>
      <c r="B226" s="1326">
        <f t="shared" si="11"/>
        <v>131</v>
      </c>
      <c r="C226" s="1788" t="str">
        <f>INDEX(months12,10)&amp;IFERROR(IF(DATEVALUE("1 "&amp;INDEX(months12,10)&amp;" "&amp;E$202)&lt;=DATEVALUE("1 "&amp;D$202&amp;" "&amp;E$202)," "&amp;E$202," "&amp;E$202-1),"")</f>
        <v>октябрь 2017</v>
      </c>
      <c r="D226" s="1337">
        <v>154.1</v>
      </c>
      <c r="E226" s="1337"/>
      <c r="F226" s="1337"/>
      <c r="G226" s="1994"/>
      <c r="H226" s="2074"/>
      <c r="I226" s="1836">
        <f t="shared" ca="1" si="9"/>
        <v>5.552154517736603E-2</v>
      </c>
      <c r="J226" s="1837">
        <f t="shared" ca="1" si="10"/>
        <v>114.357</v>
      </c>
      <c r="K226" s="1837">
        <f ca="1">ROUND(IF('Система ГВС'!$F$3=2,0,IF(F226=0,F245*(1+IF(списки!$B$59=списки!$Y$54,'Расчет базового уровня'!$D$178,0))*(списки!$C$59-M282)/1000+IF(E245=0,SUMPRODUCT(F$137:F$141,H$137:H$141)*J282*24*10^-6,E245*списки!$C$63/1000),F226)),3)</f>
        <v>39.743000000000002</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4"/>
      <c r="B227" s="1326">
        <f t="shared" si="11"/>
        <v>132</v>
      </c>
      <c r="C227" s="1788" t="str">
        <f>INDEX(months12,11)&amp;IFERROR(IF(DATEVALUE("1 "&amp;INDEX(months12,11)&amp;" "&amp;E$202)&lt;=DATEVALUE("1 "&amp;D$202&amp;" "&amp;E$202)," "&amp;E$202," "&amp;E$202-1),"")</f>
        <v>ноябрь 2017</v>
      </c>
      <c r="D227" s="1337">
        <v>152.94999999999999</v>
      </c>
      <c r="E227" s="1337"/>
      <c r="F227" s="1337"/>
      <c r="G227" s="1994"/>
      <c r="H227" s="2074"/>
      <c r="I227" s="1836">
        <f t="shared" ca="1" si="9"/>
        <v>4.5032362449459969E-2</v>
      </c>
      <c r="J227" s="1837">
        <f t="shared" ca="1" si="10"/>
        <v>111.807</v>
      </c>
      <c r="K227" s="1837">
        <f ca="1">ROUND(IF('Система ГВС'!$F$3=2,0,IF(F227=0,F246*(1+IF(списки!$B$59=списки!$Y$54,'Расчет базового уровня'!$D$178,0))*(списки!$C$59-M283)/1000+IF(E246=0,SUMPRODUCT(F$137:F$141,H$137:H$141)*J283*24*10^-6,E246*списки!$C$63/1000),F227)),3)</f>
        <v>41.143000000000001</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4"/>
      <c r="B228" s="1326">
        <f t="shared" si="11"/>
        <v>133</v>
      </c>
      <c r="C228" s="1789" t="str">
        <f>INDEX(months12,12)&amp;IFERROR(IF(DATEVALUE("1 "&amp;INDEX(months12,12)&amp;" "&amp;E$202)&lt;=DATEVALUE("1 "&amp;D$202&amp;" "&amp;E$202)," "&amp;E$202," "&amp;E$202-1),"")</f>
        <v>декабрь 2017</v>
      </c>
      <c r="D228" s="1847">
        <v>176.76</v>
      </c>
      <c r="E228" s="1847"/>
      <c r="F228" s="1847"/>
      <c r="G228" s="1994"/>
      <c r="H228" s="2074"/>
      <c r="I228" s="1838">
        <f t="shared" ca="1" si="9"/>
        <v>4.1115746841195629E-2</v>
      </c>
      <c r="J228" s="1839">
        <f t="shared" ca="1" si="10"/>
        <v>135.69499999999999</v>
      </c>
      <c r="K228" s="1839">
        <f ca="1">ROUND(IF('Система ГВС'!$F$3=2,0,IF(F228=0,F247*(1+IF(списки!$B$59=списки!$Y$54,'Расчет базового уровня'!$D$178,0))*(списки!$C$59-M284)/1000+IF(E247=0,SUMPRODUCT(F$137:F$141,H$137:H$141)*J284*24*10^-6,E247*списки!$C$63/1000),F228)),3)</f>
        <v>41.064999999999998</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4"/>
      <c r="B229" s="1324"/>
      <c r="C229" s="1264" t="s">
        <v>983</v>
      </c>
      <c r="D229" s="1922">
        <f>SUM(D217:D228)</f>
        <v>1338.74</v>
      </c>
      <c r="E229" s="1921">
        <f>SUM(E217:E228)</f>
        <v>0</v>
      </c>
      <c r="F229" s="1922">
        <f>SUM(F217:F228)</f>
        <v>0</v>
      </c>
      <c r="G229" s="50"/>
      <c r="H229" s="50"/>
      <c r="I229" s="1840">
        <f t="shared" ca="1" si="9"/>
        <v>4.1992595879406659E-2</v>
      </c>
      <c r="J229" s="1841">
        <f ca="1">IF(E229=0,D229-K229,E229)</f>
        <v>913.17900000000009</v>
      </c>
      <c r="K229" s="1841">
        <f ca="1">ROUND(SUM(K217:K228),3)</f>
        <v>425.56099999999998</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4"/>
      <c r="B230" s="1324"/>
      <c r="C230" s="8"/>
      <c r="D230" s="8"/>
      <c r="E230" s="8"/>
      <c r="F230" s="1246">
        <f>F248*55*1.3</f>
        <v>220448.80000000005</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4"/>
      <c r="B231" s="1324"/>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4"/>
      <c r="B232" s="1324"/>
      <c r="C232" s="2044" t="str">
        <f>IF('Система ГВС'!F3=2,"Таблицу ниже можно не заполнять, т.к. в поле 70 выбрана децентрализованная система ГВС","")</f>
        <v/>
      </c>
      <c r="D232" s="2044"/>
      <c r="E232" s="2044"/>
      <c r="F232" s="2044"/>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4"/>
      <c r="B233" s="1324"/>
      <c r="C233" s="2041" t="s">
        <v>2481</v>
      </c>
      <c r="D233" s="2041"/>
      <c r="E233" s="2041"/>
      <c r="F233" s="2041"/>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4"/>
      <c r="B234" s="1324"/>
      <c r="C234" s="2050" t="s">
        <v>2454</v>
      </c>
      <c r="D234" s="2076" t="s">
        <v>984</v>
      </c>
      <c r="E234" s="2077"/>
      <c r="F234" s="2078"/>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x14ac:dyDescent="0.25">
      <c r="A235" s="1324"/>
      <c r="B235" s="1324"/>
      <c r="C235" s="2050"/>
      <c r="D235" s="1869" t="s">
        <v>2130</v>
      </c>
      <c r="E235" s="1263" t="s">
        <v>2497</v>
      </c>
      <c r="F235" s="1263" t="s">
        <v>2498</v>
      </c>
      <c r="G235" s="2042" t="str">
        <f>IF(SUM(L220:L227)&gt;=1,"Расход ТЭ в летние месяцы сильно отличается от теоретического на основе введенного водоразбора! Стоит обратиться в поддержку: expert_ekr@fondgkh.ru","")</f>
        <v>Расход ТЭ в летние месяцы сильно отличается от теоретического на основе введенного водоразбора! Стоит обратиться в поддержку: expert_ekr@fondgkh.ru</v>
      </c>
      <c r="H235" s="2043"/>
      <c r="I235" s="2043"/>
      <c r="J235" s="2043"/>
      <c r="K235" s="2043"/>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4"/>
      <c r="B236" s="1326">
        <f>B228+1</f>
        <v>134</v>
      </c>
      <c r="C236" s="1265" t="str">
        <f>INDEX(months12,1)&amp;IFERROR(IF(DATEVALUE("1 "&amp;INDEX(months12,1)&amp;" "&amp;E$202)&lt;=DATEVALUE("1 "&amp;D$202&amp;" "&amp;E$202)," "&amp;E$202," "&amp;E$202-1),"")</f>
        <v>январь 2018</v>
      </c>
      <c r="D236" s="1846"/>
      <c r="E236" s="1846"/>
      <c r="F236" s="1846">
        <v>278.10000000000002</v>
      </c>
      <c r="G236" s="2085"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Средний на человека расход воды в сутки ниже норматива по СП 30.13330 «СНиП 2.04.01.85*» на -47%!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H236" s="2086"/>
      <c r="I236" s="2053"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53"/>
      <c r="K236" s="2053"/>
      <c r="L236" s="1312">
        <f>$F$248/365/$D$22*1000</f>
        <v>34.337899543379002</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4"/>
      <c r="B237" s="1326">
        <f>B236+1</f>
        <v>135</v>
      </c>
      <c r="C237" s="1266" t="str">
        <f>INDEX(months12,2)&amp;IFERROR(IF(DATEVALUE("1 "&amp;INDEX(months12,2)&amp;" "&amp;E$202)&lt;=DATEVALUE("1 "&amp;D$202&amp;" "&amp;E$202)," "&amp;E$202," "&amp;E$202-1),"")</f>
        <v>февраль 2018</v>
      </c>
      <c r="D237" s="1337"/>
      <c r="E237" s="1337"/>
      <c r="F237" s="1337">
        <v>250.9</v>
      </c>
      <c r="G237" s="2085"/>
      <c r="H237" s="2086"/>
      <c r="I237" s="2053"/>
      <c r="J237" s="2053"/>
      <c r="K237" s="2053"/>
      <c r="L237" s="1312">
        <f>SUMPRODUCT('Система ГВС'!$D$5:$D$9,'Система ГВС'!$E$5:$E$9)*(1-0.4*$D$21/$D$20)</f>
        <v>64.931034482758619</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4"/>
      <c r="B238" s="1326">
        <f t="shared" ref="B238:B247" si="12">B237+1</f>
        <v>136</v>
      </c>
      <c r="C238" s="1266" t="str">
        <f>INDEX(months12,3)&amp;IFERROR(IF(DATEVALUE("1 "&amp;INDEX(months12,3)&amp;" "&amp;E$202)&lt;=DATEVALUE("1 "&amp;D$202&amp;" "&amp;E$202)," "&amp;E$202," "&amp;E$202-1),"")</f>
        <v>март 2018</v>
      </c>
      <c r="D238" s="1337"/>
      <c r="E238" s="1337"/>
      <c r="F238" s="1337">
        <v>276.8</v>
      </c>
      <c r="G238" s="2085"/>
      <c r="H238" s="2086"/>
      <c r="I238" s="2053"/>
      <c r="J238" s="2053"/>
      <c r="K238" s="2053"/>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4"/>
      <c r="B239" s="1326">
        <f t="shared" si="12"/>
        <v>137</v>
      </c>
      <c r="C239" s="1266" t="str">
        <f>INDEX(months12,4)&amp;IFERROR(IF(DATEVALUE("1 "&amp;INDEX(months12,4)&amp;" "&amp;E$202)&lt;=DATEVALUE("1 "&amp;D$202&amp;" "&amp;E$202)," "&amp;E$202," "&amp;E$202-1),"")</f>
        <v>апрель 2018</v>
      </c>
      <c r="D239" s="1337"/>
      <c r="E239" s="1337"/>
      <c r="F239" s="1337">
        <v>254.2</v>
      </c>
      <c r="G239" s="2085"/>
      <c r="H239" s="2086"/>
      <c r="I239" s="2053"/>
      <c r="J239" s="2053"/>
      <c r="K239" s="2053"/>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4"/>
      <c r="B240" s="1326">
        <f t="shared" si="12"/>
        <v>138</v>
      </c>
      <c r="C240" s="1266" t="str">
        <f>INDEX(months12,5)&amp;IFERROR(IF(DATEVALUE("1 "&amp;INDEX(months12,5)&amp;" "&amp;E$202)&lt;=DATEVALUE("1 "&amp;D$202&amp;" "&amp;E$202)," "&amp;E$202," "&amp;E$202-1),"")</f>
        <v>май 2018</v>
      </c>
      <c r="D240" s="1337"/>
      <c r="E240" s="1337"/>
      <c r="F240" s="1337">
        <v>287.60000000000002</v>
      </c>
      <c r="G240" s="2085"/>
      <c r="H240" s="2086"/>
      <c r="I240" s="2053"/>
      <c r="J240" s="2053"/>
      <c r="K240" s="2053"/>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4"/>
      <c r="B241" s="1326">
        <f t="shared" si="12"/>
        <v>139</v>
      </c>
      <c r="C241" s="1266" t="str">
        <f>INDEX(months12,6)&amp;IFERROR(IF(DATEVALUE("1 "&amp;INDEX(months12,6)&amp;" "&amp;E$202)&lt;=DATEVALUE("1 "&amp;D$202&amp;" "&amp;E$202)," "&amp;E$202," "&amp;E$202-1),"")</f>
        <v>июнь 2018</v>
      </c>
      <c r="D241" s="1337"/>
      <c r="E241" s="1337"/>
      <c r="F241" s="1337">
        <v>251.9</v>
      </c>
      <c r="G241" s="2085"/>
      <c r="H241" s="2086"/>
      <c r="I241" s="2053"/>
      <c r="J241" s="2053"/>
      <c r="K241" s="2053"/>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4"/>
      <c r="B242" s="1326">
        <f t="shared" si="12"/>
        <v>140</v>
      </c>
      <c r="C242" s="1266" t="str">
        <f>INDEX(months12,7)&amp;IFERROR(IF(DATEVALUE("1 "&amp;INDEX(months12,7)&amp;" "&amp;E$202)&lt;=DATEVALUE("1 "&amp;D$202&amp;" "&amp;E$202)," "&amp;E$202," "&amp;E$202-1),"")</f>
        <v>июль 2018</v>
      </c>
      <c r="D242" s="1337"/>
      <c r="E242" s="1337"/>
      <c r="F242" s="1337">
        <v>123.9</v>
      </c>
      <c r="G242" s="2085"/>
      <c r="H242" s="2086"/>
      <c r="I242" s="2053"/>
      <c r="J242" s="2053"/>
      <c r="K242" s="2053"/>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4"/>
      <c r="B243" s="1326">
        <f t="shared" si="12"/>
        <v>141</v>
      </c>
      <c r="C243" s="1266" t="str">
        <f>INDEX(months12,8)&amp;IFERROR(IF(DATEVALUE("1 "&amp;INDEX(months12,8)&amp;" "&amp;E$202)&lt;=DATEVALUE("1 "&amp;D$202&amp;" "&amp;E$202)," "&amp;E$202," "&amp;E$202-1),"")</f>
        <v>август 2018</v>
      </c>
      <c r="D243" s="1337"/>
      <c r="E243" s="1337"/>
      <c r="F243" s="1337">
        <v>205.9</v>
      </c>
      <c r="G243" s="2085"/>
      <c r="H243" s="2086"/>
      <c r="I243" s="2053"/>
      <c r="J243" s="2053"/>
      <c r="K243" s="2053"/>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4"/>
      <c r="B244" s="1326">
        <f t="shared" si="12"/>
        <v>142</v>
      </c>
      <c r="C244" s="1266" t="str">
        <f>INDEX(months12,9)&amp;IFERROR(IF(DATEVALUE("1 "&amp;INDEX(months12,9)&amp;" "&amp;E$202)&lt;=DATEVALUE("1 "&amp;D$202&amp;" "&amp;E$202)," "&amp;E$202," "&amp;E$202-1),"")</f>
        <v>сентябрь 2017</v>
      </c>
      <c r="D244" s="1337"/>
      <c r="E244" s="1337"/>
      <c r="F244" s="1337">
        <v>240.5</v>
      </c>
      <c r="G244" s="2085"/>
      <c r="H244" s="2086"/>
      <c r="I244" s="2053"/>
      <c r="J244" s="2053"/>
      <c r="K244" s="2053"/>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4"/>
      <c r="B245" s="1326">
        <f t="shared" si="12"/>
        <v>143</v>
      </c>
      <c r="C245" s="1266" t="str">
        <f>INDEX(months12,10)&amp;IFERROR(IF(DATEVALUE("1 "&amp;INDEX(months12,10)&amp;" "&amp;E$202)&lt;=DATEVALUE("1 "&amp;D$202&amp;" "&amp;E$202)," "&amp;E$202," "&amp;E$202-1),"")</f>
        <v>октябрь 2017</v>
      </c>
      <c r="D245" s="1337"/>
      <c r="E245" s="1337"/>
      <c r="F245" s="1337">
        <v>288.89999999999998</v>
      </c>
      <c r="G245" s="2085"/>
      <c r="H245" s="2086"/>
      <c r="I245" s="2053"/>
      <c r="J245" s="2053"/>
      <c r="K245" s="2053"/>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4"/>
      <c r="B246" s="1326">
        <f t="shared" si="12"/>
        <v>144</v>
      </c>
      <c r="C246" s="1266" t="str">
        <f>INDEX(months12,11)&amp;IFERROR(IF(DATEVALUE("1 "&amp;INDEX(months12,11)&amp;" "&amp;E$202)&lt;=DATEVALUE("1 "&amp;D$202&amp;" "&amp;E$202)," "&amp;E$202," "&amp;E$202-1),"")</f>
        <v>ноябрь 2017</v>
      </c>
      <c r="D246" s="1337"/>
      <c r="E246" s="1337"/>
      <c r="F246" s="1337">
        <v>317.10000000000002</v>
      </c>
      <c r="G246" s="2085"/>
      <c r="H246" s="2086"/>
      <c r="I246" s="2053"/>
      <c r="J246" s="2053"/>
      <c r="K246" s="2053"/>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4"/>
      <c r="B247" s="1326">
        <f t="shared" si="12"/>
        <v>145</v>
      </c>
      <c r="C247" s="1267" t="str">
        <f>INDEX(months12,12)&amp;IFERROR(IF(DATEVALUE("1 "&amp;INDEX(months12,12)&amp;" "&amp;E$202)&lt;=DATEVALUE("1 "&amp;D$202&amp;" "&amp;E$202)," "&amp;E$202," "&amp;E$202-1),"")</f>
        <v>декабрь 2017</v>
      </c>
      <c r="D247" s="1847"/>
      <c r="E247" s="1847"/>
      <c r="F247" s="1847">
        <v>307.39999999999998</v>
      </c>
      <c r="G247" s="2085"/>
      <c r="H247" s="2086"/>
      <c r="I247" s="2053"/>
      <c r="J247" s="2053"/>
      <c r="K247" s="2053"/>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4"/>
      <c r="B248" s="1324"/>
      <c r="C248" s="1264" t="s">
        <v>983</v>
      </c>
      <c r="D248" s="1921">
        <f>SUM(D236:D247)</f>
        <v>0</v>
      </c>
      <c r="E248" s="1921">
        <f>SUM(E236:E247)</f>
        <v>0</v>
      </c>
      <c r="F248" s="1922">
        <f>SUM(F236:F247)</f>
        <v>3083.2000000000003</v>
      </c>
      <c r="G248" s="2085"/>
      <c r="H248" s="2086"/>
      <c r="I248" s="2053"/>
      <c r="J248" s="2053"/>
      <c r="K248" s="2053"/>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4"/>
      <c r="B249" s="1324"/>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4"/>
      <c r="B250" s="1324"/>
      <c r="C250" s="2041" t="s">
        <v>2482</v>
      </c>
      <c r="D250" s="2041"/>
      <c r="E250" s="2041"/>
      <c r="F250" s="2041"/>
      <c r="G250" s="2041"/>
      <c r="H250" s="2041"/>
      <c r="I250" s="2041"/>
      <c r="J250" s="2041"/>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4"/>
      <c r="B251" s="1324"/>
      <c r="C251" s="2097" t="s">
        <v>2454</v>
      </c>
      <c r="D251" s="2079" t="s">
        <v>1967</v>
      </c>
      <c r="E251" s="2081" t="s">
        <v>1966</v>
      </c>
      <c r="F251" s="2082" t="s">
        <v>1968</v>
      </c>
      <c r="G251" s="2083"/>
      <c r="H251" s="2083"/>
      <c r="I251" s="2083"/>
      <c r="J251" s="2084"/>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4"/>
      <c r="B252" s="1324"/>
      <c r="C252" s="2097"/>
      <c r="D252" s="2080"/>
      <c r="E252" s="2081"/>
      <c r="F252" s="1868" t="s">
        <v>980</v>
      </c>
      <c r="G252" s="1801" t="s">
        <v>1969</v>
      </c>
      <c r="H252" s="1801" t="s">
        <v>1970</v>
      </c>
      <c r="I252" s="1801" t="s">
        <v>1971</v>
      </c>
      <c r="J252" s="1801" t="s">
        <v>1972</v>
      </c>
      <c r="K252" s="50"/>
      <c r="L252" s="50"/>
      <c r="M252" s="50"/>
      <c r="N252" s="50"/>
      <c r="O252" s="50"/>
      <c r="P252" s="1412" t="s">
        <v>980</v>
      </c>
      <c r="Q252" s="1412" t="s">
        <v>986</v>
      </c>
      <c r="R252" s="1412" t="s">
        <v>1364</v>
      </c>
      <c r="S252" s="1412" t="s">
        <v>1363</v>
      </c>
      <c r="T252" s="1412" t="s">
        <v>981</v>
      </c>
      <c r="U252" s="1412" t="s">
        <v>541</v>
      </c>
      <c r="V252" s="1412" t="s">
        <v>1312</v>
      </c>
      <c r="W252" s="1413" t="s">
        <v>1365</v>
      </c>
      <c r="X252" s="1414"/>
      <c r="Y252" s="1412" t="s">
        <v>980</v>
      </c>
      <c r="Z252" s="1412" t="s">
        <v>986</v>
      </c>
      <c r="AA252" s="1412" t="s">
        <v>1364</v>
      </c>
      <c r="AB252" s="1412" t="s">
        <v>1363</v>
      </c>
      <c r="AC252" s="1412" t="s">
        <v>981</v>
      </c>
      <c r="AD252" s="1412" t="s">
        <v>541</v>
      </c>
      <c r="AE252" s="1412" t="s">
        <v>1312</v>
      </c>
      <c r="AF252" s="1413" t="s">
        <v>1365</v>
      </c>
      <c r="AG252" s="14"/>
      <c r="AH252" s="14"/>
    </row>
    <row r="253" spans="1:34" s="7" customFormat="1" x14ac:dyDescent="0.25">
      <c r="A253" s="1324"/>
      <c r="B253" s="1326">
        <f>B247+1</f>
        <v>146</v>
      </c>
      <c r="C253" s="1802" t="str">
        <f>INDEX(months12,1)&amp;IFERROR(IF(DATEVALUE("1 "&amp;INDEX(months12,1)&amp;" "&amp;E$202)&lt;=DATEVALUE("1 "&amp;D$202&amp;" "&amp;E$202)," "&amp;E$202," "&amp;E$202-1),"")</f>
        <v>январь 2018</v>
      </c>
      <c r="D253" s="1936"/>
      <c r="E253" s="1936"/>
      <c r="F253" s="1846">
        <v>2.9529999999999998</v>
      </c>
      <c r="G253" s="1846"/>
      <c r="H253" s="1846"/>
      <c r="I253" s="1870"/>
      <c r="J253" s="1871"/>
      <c r="K253" s="2092" t="s">
        <v>1964</v>
      </c>
      <c r="L253" s="2092"/>
      <c r="M253" s="50"/>
      <c r="N253" s="50"/>
      <c r="O253" s="50"/>
      <c r="P253" s="1843">
        <f>SUM(Q253:S253,W253)</f>
        <v>0.20332602739726027</v>
      </c>
      <c r="Q253" s="1844">
        <f>($D$151*$F$151*списки!$C$65+$F$152*$D$152*списки!$C$66+$F$153*$D$153*списки!$C$67+$F$154*$D$154*списки!$C$68+$F$155*$D$155*списки!$C$69+$F$156*$D$156*списки!$C$70)*($J273/SUM($J$273:$J$284))*10^-6   +N("1 / 1 000 000 - переводной коэффициент [Вт-ч] --&gt; [тыс. кВт-ч]")</f>
        <v>0.20332602739726027</v>
      </c>
      <c r="R253" s="1844">
        <f>$D$161*списки!$C$72*($J273/SUM($J$273:$J$284))*10^-3   +N("1 / 1000 - переводной коэффициент [кВт-ч] --&gt; [тыс. кВт-ч]")</f>
        <v>0</v>
      </c>
      <c r="S253" s="1844">
        <f>SUM(T253:V253)</f>
        <v>0</v>
      </c>
      <c r="T253" s="1844">
        <f>$D$167*IFERROR('Расчет базового уровня'!$G$148,0)*24/1000</f>
        <v>0</v>
      </c>
      <c r="U253" s="1844">
        <f>$D$171*'Расчет базового уровня'!$G$172*24/1000</f>
        <v>0</v>
      </c>
      <c r="V253" s="1844">
        <f>$D$175*'Расчет базового уровня'!$G$167*24/1000</f>
        <v>0</v>
      </c>
      <c r="W253" s="1845">
        <f t="shared" ref="W253:W264" si="13">$D$179*$D$180*($J273/SUM($J$273:$J$284))*10^-3   +N("1 / 1000 - переводной коэффициент [кВт-ч] --&gt; [тыс. кВт-ч]")</f>
        <v>0</v>
      </c>
      <c r="X253" s="1322"/>
      <c r="Y253" s="1843">
        <f>SUM(Z253:AB253,AF253)</f>
        <v>2.9529999999999998</v>
      </c>
      <c r="Z253" s="1844">
        <f>IF(G253=0,IFERROR($F253*Q253/$P253,0),G253)</f>
        <v>2.9529999999999998</v>
      </c>
      <c r="AA253" s="1844">
        <f t="shared" ref="AA253:AA264" si="14">IF(H253=0,IF(AND(G253&lt;&gt;0,$D$161&lt;&gt;0,SUM($D$165,$D$169,$D$173,$D$179)=0),F253-G253,IFERROR($F253*R253/$P253,0)),H253)</f>
        <v>0</v>
      </c>
      <c r="AB253" s="1844">
        <f t="shared" ref="AB253:AB264" si="15">IF(I253=0,IF(AND(G253&lt;&gt;0,$D$161=0,SUM($D$165,$D$169,$D$173,$D$179)&gt;0),F253-G253,IFERROR($F253*S253/$P253,0)),I253)</f>
        <v>0</v>
      </c>
      <c r="AC253" s="1844">
        <f>IFERROR($AB253*T253/$S253,0)</f>
        <v>0</v>
      </c>
      <c r="AD253" s="1844">
        <f t="shared" ref="AD253:AE264" si="16">IFERROR($AB253*U253/$S253,0)</f>
        <v>0</v>
      </c>
      <c r="AE253" s="1844">
        <f t="shared" si="16"/>
        <v>0</v>
      </c>
      <c r="AF253" s="1844">
        <f>IFERROR(IF(J253=0,$F253*W253/$P253,P253),0)</f>
        <v>0</v>
      </c>
      <c r="AG253" s="14"/>
      <c r="AH253" s="14"/>
    </row>
    <row r="254" spans="1:34" s="7" customFormat="1" x14ac:dyDescent="0.25">
      <c r="A254" s="1324"/>
      <c r="B254" s="1326">
        <f>B253+1</f>
        <v>147</v>
      </c>
      <c r="C254" s="1803" t="str">
        <f>INDEX(months12,2)&amp;IFERROR(IF(DATEVALUE("1 "&amp;INDEX(months12,2)&amp;" "&amp;E$202)&lt;=DATEVALUE("1 "&amp;D$202&amp;" "&amp;E$202)," "&amp;E$202," "&amp;E$202-1),"")</f>
        <v>февраль 2018</v>
      </c>
      <c r="D254" s="1937"/>
      <c r="E254" s="1937"/>
      <c r="F254" s="1337">
        <v>3.4489999999999998</v>
      </c>
      <c r="G254" s="1337"/>
      <c r="H254" s="1337"/>
      <c r="I254" s="1334"/>
      <c r="J254" s="1333"/>
      <c r="K254" s="2092"/>
      <c r="L254" s="2092"/>
      <c r="M254" s="50"/>
      <c r="N254" s="50"/>
      <c r="O254" s="50"/>
      <c r="P254" s="1843">
        <f t="shared" ref="P254:P264" si="17">SUM(Q254:S254,W254)</f>
        <v>0.18364931506849316</v>
      </c>
      <c r="Q254" s="1844">
        <f>($D$151*$F$151*списки!$C$65+$F$152*$D$152*списки!$C$66+$F$153*$D$153*списки!$C$67+$F$154*$D$154*списки!$C$68+$F$155*$D$155*списки!$C$69+$F$156*$D$156*списки!$C$70)*($J274/SUM($J$273:$J$284))*10^-6   +N("1 / 1 000 000 - переводной коэффициент [Вт-ч] --&gt; [тыс. кВт-ч]")</f>
        <v>0.18364931506849316</v>
      </c>
      <c r="R254" s="1844">
        <f>$D$161*списки!$C$72*($J274/SUM($J$273:$J$284))*10^-3   +N("1 / 1000 - переводной коэффициент [кВт-ч] --&gt; [тыс. кВт-ч]")</f>
        <v>0</v>
      </c>
      <c r="S254" s="1844">
        <f t="shared" ref="S254:S264" si="18">SUM(T254:V254)</f>
        <v>0</v>
      </c>
      <c r="T254" s="1844">
        <f>$D$167*IFERROR('Расчет базового уровня'!$G$148,0)*24/1000</f>
        <v>0</v>
      </c>
      <c r="U254" s="1844">
        <f>$D$171*'Расчет базового уровня'!$H$172*24/1000</f>
        <v>0</v>
      </c>
      <c r="V254" s="1844">
        <f>$D$175*'Расчет базового уровня'!$H$167*24/1000</f>
        <v>0</v>
      </c>
      <c r="W254" s="1845">
        <f t="shared" si="13"/>
        <v>0</v>
      </c>
      <c r="X254" s="1322"/>
      <c r="Y254" s="1843">
        <f t="shared" ref="Y254:Y264" si="19">SUM(Z254:AB254,AF254)</f>
        <v>3.4489999999999998</v>
      </c>
      <c r="Z254" s="1844">
        <f t="shared" ref="Z254:Z264" si="20">IF(G254=0,IFERROR($F254*Q254/$P254,0),G254)</f>
        <v>3.4489999999999998</v>
      </c>
      <c r="AA254" s="1844">
        <f t="shared" si="14"/>
        <v>0</v>
      </c>
      <c r="AB254" s="1844">
        <f t="shared" si="15"/>
        <v>0</v>
      </c>
      <c r="AC254" s="1844">
        <f t="shared" ref="AC254:AC264" si="21">IFERROR($AB254*T254/$S254,0)</f>
        <v>0</v>
      </c>
      <c r="AD254" s="1844">
        <f t="shared" si="16"/>
        <v>0</v>
      </c>
      <c r="AE254" s="1844">
        <f t="shared" si="16"/>
        <v>0</v>
      </c>
      <c r="AF254" s="1844">
        <f t="shared" ref="AF254:AF264" si="22">IFERROR(IF(J254=0,$F254*W254/$P254,P254),0)</f>
        <v>0</v>
      </c>
      <c r="AG254" s="14"/>
      <c r="AH254" s="14"/>
    </row>
    <row r="255" spans="1:34" s="7" customFormat="1" x14ac:dyDescent="0.25">
      <c r="A255" s="1324"/>
      <c r="B255" s="1326">
        <f t="shared" ref="B255:B264" si="23">B254+1</f>
        <v>148</v>
      </c>
      <c r="C255" s="1803" t="str">
        <f>INDEX(months12,3)&amp;IFERROR(IF(DATEVALUE("1 "&amp;INDEX(months12,3)&amp;" "&amp;E$202)&lt;=DATEVALUE("1 "&amp;D$202&amp;" "&amp;E$202)," "&amp;E$202," "&amp;E$202-1),"")</f>
        <v>март 2018</v>
      </c>
      <c r="D255" s="1937"/>
      <c r="E255" s="1937"/>
      <c r="F255" s="1337">
        <v>1E-3</v>
      </c>
      <c r="G255" s="1337"/>
      <c r="H255" s="1337"/>
      <c r="I255" s="1334"/>
      <c r="J255" s="1333"/>
      <c r="K255" s="2092"/>
      <c r="L255" s="2092"/>
      <c r="M255" s="50"/>
      <c r="N255" s="50"/>
      <c r="O255" s="50"/>
      <c r="P255" s="1843">
        <f t="shared" si="17"/>
        <v>0.20332602739726027</v>
      </c>
      <c r="Q255" s="1844">
        <f>($D$151*$F$151*списки!$C$65+$F$152*$D$152*списки!$C$66+$F$153*$D$153*списки!$C$67+$F$154*$D$154*списки!$C$68+$F$155*$D$155*списки!$C$69+$F$156*$D$156*списки!$C$70)*($J275/SUM($J$273:$J$284))*10^-6   +N("1 / 1 000 000 - переводной коэффициент [Вт-ч] --&gt; [тыс. кВт-ч]")</f>
        <v>0.20332602739726027</v>
      </c>
      <c r="R255" s="1844">
        <f>$D$161*списки!$C$72*($J275/SUM($J$273:$J$284))*10^-3   +N("1 / 1000 - переводной коэффициент [кВт-ч] --&gt; [тыс. кВт-ч]")</f>
        <v>0</v>
      </c>
      <c r="S255" s="1844">
        <f t="shared" si="18"/>
        <v>0</v>
      </c>
      <c r="T255" s="1844">
        <f>$D$167*IFERROR('Расчет базового уровня'!$G$148,0)*24/1000</f>
        <v>0</v>
      </c>
      <c r="U255" s="1844">
        <f>$D$171*'Расчет базового уровня'!$I$172*24/1000</f>
        <v>0</v>
      </c>
      <c r="V255" s="1844">
        <f>$D$175*'Расчет базового уровня'!$I$167*24/1000</f>
        <v>0</v>
      </c>
      <c r="W255" s="1845">
        <f t="shared" si="13"/>
        <v>0</v>
      </c>
      <c r="X255" s="1322"/>
      <c r="Y255" s="1843">
        <f t="shared" si="19"/>
        <v>1E-3</v>
      </c>
      <c r="Z255" s="1844">
        <f t="shared" si="20"/>
        <v>1E-3</v>
      </c>
      <c r="AA255" s="1844">
        <f t="shared" si="14"/>
        <v>0</v>
      </c>
      <c r="AB255" s="1844">
        <f t="shared" si="15"/>
        <v>0</v>
      </c>
      <c r="AC255" s="1844">
        <f t="shared" si="21"/>
        <v>0</v>
      </c>
      <c r="AD255" s="1844">
        <f t="shared" si="16"/>
        <v>0</v>
      </c>
      <c r="AE255" s="1844">
        <f t="shared" si="16"/>
        <v>0</v>
      </c>
      <c r="AF255" s="1844">
        <f t="shared" si="22"/>
        <v>0</v>
      </c>
      <c r="AG255" s="14"/>
      <c r="AH255" s="14"/>
    </row>
    <row r="256" spans="1:34" s="7" customFormat="1" x14ac:dyDescent="0.25">
      <c r="A256" s="1324"/>
      <c r="B256" s="1326">
        <f t="shared" si="23"/>
        <v>149</v>
      </c>
      <c r="C256" s="1803" t="str">
        <f>INDEX(months12,4)&amp;IFERROR(IF(DATEVALUE("1 "&amp;INDEX(months12,4)&amp;" "&amp;E$202)&lt;=DATEVALUE("1 "&amp;D$202&amp;" "&amp;E$202)," "&amp;E$202," "&amp;E$202-1),"")</f>
        <v>апрель 2018</v>
      </c>
      <c r="D256" s="1937"/>
      <c r="E256" s="1937"/>
      <c r="F256" s="1337">
        <v>3.79</v>
      </c>
      <c r="G256" s="1337"/>
      <c r="H256" s="1337"/>
      <c r="I256" s="1334"/>
      <c r="J256" s="1333"/>
      <c r="K256" s="2092"/>
      <c r="L256" s="2092"/>
      <c r="M256" s="50"/>
      <c r="N256" s="50"/>
      <c r="O256" s="50"/>
      <c r="P256" s="1843">
        <f t="shared" si="17"/>
        <v>0.19676712328767121</v>
      </c>
      <c r="Q256" s="1844">
        <f>($D$151*$F$151*списки!$C$65+$F$152*$D$152*списки!$C$66+$F$153*$D$153*списки!$C$67+$F$154*$D$154*списки!$C$68+$F$155*$D$155*списки!$C$69+$F$156*$D$156*списки!$C$70)*($J276/SUM($J$273:$J$284))*10^-6   +N("1 / 1 000 000 - переводной коэффициент [Вт-ч] --&gt; [тыс. кВт-ч]")</f>
        <v>0.19676712328767121</v>
      </c>
      <c r="R256" s="1844">
        <f>$D$161*списки!$C$72*($J276/SUM($J$273:$J$284))*10^-3   +N("1 / 1000 - переводной коэффициент [кВт-ч] --&gt; [тыс. кВт-ч]")</f>
        <v>0</v>
      </c>
      <c r="S256" s="1844">
        <f t="shared" si="18"/>
        <v>0</v>
      </c>
      <c r="T256" s="1844">
        <f>$D$167*IFERROR('Расчет базового уровня'!$G$148,0)*24/1000</f>
        <v>0</v>
      </c>
      <c r="U256" s="1844">
        <f>$D$171*'Расчет базового уровня'!$J$172*24/1000</f>
        <v>0</v>
      </c>
      <c r="V256" s="1844">
        <f>$D$175*'Расчет базового уровня'!$J$167*24/1000</f>
        <v>0</v>
      </c>
      <c r="W256" s="1845">
        <f t="shared" si="13"/>
        <v>0</v>
      </c>
      <c r="X256" s="1322"/>
      <c r="Y256" s="1843">
        <f t="shared" si="19"/>
        <v>3.7899999999999996</v>
      </c>
      <c r="Z256" s="1844">
        <f t="shared" si="20"/>
        <v>3.7899999999999996</v>
      </c>
      <c r="AA256" s="1844">
        <f t="shared" si="14"/>
        <v>0</v>
      </c>
      <c r="AB256" s="1844">
        <f t="shared" si="15"/>
        <v>0</v>
      </c>
      <c r="AC256" s="1844">
        <f t="shared" si="21"/>
        <v>0</v>
      </c>
      <c r="AD256" s="1844">
        <f t="shared" si="16"/>
        <v>0</v>
      </c>
      <c r="AE256" s="1844">
        <f t="shared" si="16"/>
        <v>0</v>
      </c>
      <c r="AF256" s="1844">
        <f t="shared" si="22"/>
        <v>0</v>
      </c>
      <c r="AG256" s="14"/>
      <c r="AH256" s="14"/>
    </row>
    <row r="257" spans="1:34" s="7" customFormat="1" x14ac:dyDescent="0.25">
      <c r="A257" s="1324"/>
      <c r="B257" s="1326">
        <f t="shared" si="23"/>
        <v>150</v>
      </c>
      <c r="C257" s="1803" t="str">
        <f>INDEX(months12,5)&amp;IFERROR(IF(DATEVALUE("1 "&amp;INDEX(months12,5)&amp;" "&amp;E$202)&lt;=DATEVALUE("1 "&amp;D$202&amp;" "&amp;E$202)," "&amp;E$202," "&amp;E$202-1),"")</f>
        <v>май 2018</v>
      </c>
      <c r="D257" s="1937"/>
      <c r="E257" s="1937"/>
      <c r="F257" s="1337">
        <v>0.60099999999999998</v>
      </c>
      <c r="G257" s="1337"/>
      <c r="H257" s="1337"/>
      <c r="I257" s="1334"/>
      <c r="J257" s="1333"/>
      <c r="K257" s="2092"/>
      <c r="L257" s="2092"/>
      <c r="M257" s="50"/>
      <c r="N257" s="50"/>
      <c r="O257" s="50"/>
      <c r="P257" s="1843">
        <f t="shared" si="17"/>
        <v>0.20332602739726027</v>
      </c>
      <c r="Q257" s="1844">
        <f>($D$151*$F$151*списки!$C$65+$F$152*$D$152*списки!$C$66+$F$153*$D$153*списки!$C$67+$F$154*$D$154*списки!$C$68+$F$155*$D$155*списки!$C$69+$F$156*$D$156*списки!$C$70)*($J277/SUM($J$273:$J$284))*10^-6   +N("1 / 1 000 000 - переводной коэффициент [Вт-ч] --&gt; [тыс. кВт-ч]")</f>
        <v>0.20332602739726027</v>
      </c>
      <c r="R257" s="1844">
        <f>$D$161*списки!$C$72*($J277/SUM($J$273:$J$284))*10^-3   +N("1 / 1000 - переводной коэффициент [кВт-ч] --&gt; [тыс. кВт-ч]")</f>
        <v>0</v>
      </c>
      <c r="S257" s="1844">
        <f t="shared" si="18"/>
        <v>0</v>
      </c>
      <c r="T257" s="1844">
        <f>$D$167*IFERROR('Расчет базового уровня'!$G$148,0)*24/1000</f>
        <v>0</v>
      </c>
      <c r="U257" s="1844">
        <f>$D$171*'Расчет базового уровня'!$K$172*24/1000</f>
        <v>0</v>
      </c>
      <c r="V257" s="1844">
        <f>$D$175*'Расчет базового уровня'!$K$167*24/1000</f>
        <v>0</v>
      </c>
      <c r="W257" s="1845">
        <f t="shared" si="13"/>
        <v>0</v>
      </c>
      <c r="X257" s="1322"/>
      <c r="Y257" s="1843">
        <f t="shared" si="19"/>
        <v>0.60099999999999998</v>
      </c>
      <c r="Z257" s="1844">
        <f t="shared" si="20"/>
        <v>0.60099999999999998</v>
      </c>
      <c r="AA257" s="1844">
        <f t="shared" si="14"/>
        <v>0</v>
      </c>
      <c r="AB257" s="1844">
        <f t="shared" si="15"/>
        <v>0</v>
      </c>
      <c r="AC257" s="1844">
        <f t="shared" si="21"/>
        <v>0</v>
      </c>
      <c r="AD257" s="1844">
        <f t="shared" si="16"/>
        <v>0</v>
      </c>
      <c r="AE257" s="1844">
        <f t="shared" si="16"/>
        <v>0</v>
      </c>
      <c r="AF257" s="1844">
        <f t="shared" si="22"/>
        <v>0</v>
      </c>
      <c r="AG257" s="14"/>
      <c r="AH257" s="14"/>
    </row>
    <row r="258" spans="1:34" s="7" customFormat="1" x14ac:dyDescent="0.25">
      <c r="A258" s="1324"/>
      <c r="B258" s="1326">
        <f t="shared" si="23"/>
        <v>151</v>
      </c>
      <c r="C258" s="1803" t="str">
        <f>INDEX(months12,6)&amp;IFERROR(IF(DATEVALUE("1 "&amp;INDEX(months12,6)&amp;" "&amp;E$202)&lt;=DATEVALUE("1 "&amp;D$202&amp;" "&amp;E$202)," "&amp;E$202," "&amp;E$202-1),"")</f>
        <v>июнь 2018</v>
      </c>
      <c r="D258" s="1937"/>
      <c r="E258" s="1937"/>
      <c r="F258" s="1337">
        <v>1.6830000000000001</v>
      </c>
      <c r="G258" s="1337"/>
      <c r="H258" s="1337"/>
      <c r="I258" s="1334"/>
      <c r="J258" s="1333"/>
      <c r="K258" s="2092"/>
      <c r="L258" s="2092"/>
      <c r="M258" s="50"/>
      <c r="N258" s="50"/>
      <c r="O258" s="50"/>
      <c r="P258" s="1843">
        <f t="shared" si="17"/>
        <v>0.19676712328767121</v>
      </c>
      <c r="Q258" s="1844">
        <f>($D$151*$F$151*списки!$C$65+$F$152*$D$152*списки!$C$66+$F$153*$D$153*списки!$C$67+$F$154*$D$154*списки!$C$68+$F$155*$D$155*списки!$C$69+$F$156*$D$156*списки!$C$70)*($J278/SUM($J$273:$J$284))*10^-6   +N("1 / 1 000 000 - переводной коэффициент [Вт-ч] --&gt; [тыс. кВт-ч]")</f>
        <v>0.19676712328767121</v>
      </c>
      <c r="R258" s="1844">
        <f>$D$161*списки!$C$72*($J278/SUM($J$273:$J$284))*10^-3   +N("1 / 1000 - переводной коэффициент [кВт-ч] --&gt; [тыс. кВт-ч]")</f>
        <v>0</v>
      </c>
      <c r="S258" s="1844">
        <f t="shared" si="18"/>
        <v>0</v>
      </c>
      <c r="T258" s="1844">
        <f>$D$167*IFERROR('Расчет базового уровня'!$G$148,0)*24/1000</f>
        <v>0</v>
      </c>
      <c r="U258" s="1844">
        <f>$D$171*'Расчет базового уровня'!$L$172*24/1000</f>
        <v>0</v>
      </c>
      <c r="V258" s="1844">
        <f>$D$175*'Расчет базового уровня'!$L$167*24/1000</f>
        <v>0</v>
      </c>
      <c r="W258" s="1845">
        <f t="shared" si="13"/>
        <v>0</v>
      </c>
      <c r="X258" s="1322"/>
      <c r="Y258" s="1843">
        <f t="shared" si="19"/>
        <v>1.6830000000000001</v>
      </c>
      <c r="Z258" s="1844">
        <f t="shared" si="20"/>
        <v>1.6830000000000001</v>
      </c>
      <c r="AA258" s="1844">
        <f t="shared" si="14"/>
        <v>0</v>
      </c>
      <c r="AB258" s="1844">
        <f t="shared" si="15"/>
        <v>0</v>
      </c>
      <c r="AC258" s="1844">
        <f t="shared" si="21"/>
        <v>0</v>
      </c>
      <c r="AD258" s="1844">
        <f t="shared" si="16"/>
        <v>0</v>
      </c>
      <c r="AE258" s="1844">
        <f t="shared" si="16"/>
        <v>0</v>
      </c>
      <c r="AF258" s="1844">
        <f t="shared" si="22"/>
        <v>0</v>
      </c>
      <c r="AG258" s="14"/>
      <c r="AH258" s="14"/>
    </row>
    <row r="259" spans="1:34" s="7" customFormat="1" x14ac:dyDescent="0.25">
      <c r="A259" s="1324"/>
      <c r="B259" s="1326">
        <f t="shared" si="23"/>
        <v>152</v>
      </c>
      <c r="C259" s="1803" t="str">
        <f>INDEX(months12,7)&amp;IFERROR(IF(DATEVALUE("1 "&amp;INDEX(months12,7)&amp;" "&amp;E$202)&lt;=DATEVALUE("1 "&amp;D$202&amp;" "&amp;E$202)," "&amp;E$202," "&amp;E$202-1),"")</f>
        <v>июль 2018</v>
      </c>
      <c r="D259" s="1937"/>
      <c r="E259" s="1937"/>
      <c r="F259" s="1337">
        <v>1.9630000000000001</v>
      </c>
      <c r="G259" s="1337"/>
      <c r="H259" s="1337"/>
      <c r="I259" s="1334"/>
      <c r="J259" s="1333"/>
      <c r="K259" s="2092"/>
      <c r="L259" s="2092"/>
      <c r="M259" s="50"/>
      <c r="N259" s="50"/>
      <c r="O259" s="50"/>
      <c r="P259" s="1843">
        <f t="shared" si="17"/>
        <v>0.20332602739726027</v>
      </c>
      <c r="Q259" s="1844">
        <f>($D$151*$F$151*списки!$C$65+$F$152*$D$152*списки!$C$66+$F$153*$D$153*списки!$C$67+$F$154*$D$154*списки!$C$68+$F$155*$D$155*списки!$C$69+$F$156*$D$156*списки!$C$70)*($J279/SUM($J$273:$J$284))*10^-6   +N("1 / 1 000 000 - переводной коэффициент [Вт-ч] --&gt; [тыс. кВт-ч]")</f>
        <v>0.20332602739726027</v>
      </c>
      <c r="R259" s="1844">
        <f>$D$161*списки!$C$72*($J279/SUM($J$273:$J$284))*10^-3   +N("1 / 1000 - переводной коэффициент [кВт-ч] --&gt; [тыс. кВт-ч]")</f>
        <v>0</v>
      </c>
      <c r="S259" s="1844">
        <f t="shared" si="18"/>
        <v>0</v>
      </c>
      <c r="T259" s="1844">
        <f>$D$167*IFERROR('Расчет базового уровня'!$G$148,0)*24/1000</f>
        <v>0</v>
      </c>
      <c r="U259" s="1844">
        <f>$D$171*'Расчет базового уровня'!$M$172*24/1000</f>
        <v>0</v>
      </c>
      <c r="V259" s="1844">
        <f>$D$175*'Расчет базового уровня'!$M$167*24/1000</f>
        <v>0</v>
      </c>
      <c r="W259" s="1845">
        <f t="shared" si="13"/>
        <v>0</v>
      </c>
      <c r="X259" s="1322"/>
      <c r="Y259" s="1843">
        <f t="shared" si="19"/>
        <v>1.9630000000000001</v>
      </c>
      <c r="Z259" s="1844">
        <f t="shared" si="20"/>
        <v>1.9630000000000001</v>
      </c>
      <c r="AA259" s="1844">
        <f t="shared" si="14"/>
        <v>0</v>
      </c>
      <c r="AB259" s="1844">
        <f t="shared" si="15"/>
        <v>0</v>
      </c>
      <c r="AC259" s="1844">
        <f t="shared" si="21"/>
        <v>0</v>
      </c>
      <c r="AD259" s="1844">
        <f t="shared" si="16"/>
        <v>0</v>
      </c>
      <c r="AE259" s="1844">
        <f t="shared" si="16"/>
        <v>0</v>
      </c>
      <c r="AF259" s="1844">
        <f t="shared" si="22"/>
        <v>0</v>
      </c>
      <c r="AG259" s="14"/>
      <c r="AH259" s="14"/>
    </row>
    <row r="260" spans="1:34" s="7" customFormat="1" x14ac:dyDescent="0.25">
      <c r="A260" s="1324"/>
      <c r="B260" s="1326">
        <f t="shared" si="23"/>
        <v>153</v>
      </c>
      <c r="C260" s="1803" t="str">
        <f>INDEX(months12,8)&amp;IFERROR(IF(DATEVALUE("1 "&amp;INDEX(months12,8)&amp;" "&amp;E$202)&lt;=DATEVALUE("1 "&amp;D$202&amp;" "&amp;E$202)," "&amp;E$202," "&amp;E$202-1),"")</f>
        <v>август 2018</v>
      </c>
      <c r="D260" s="1937"/>
      <c r="E260" s="1937"/>
      <c r="F260" s="1337">
        <v>1.599</v>
      </c>
      <c r="G260" s="1337"/>
      <c r="H260" s="1337"/>
      <c r="I260" s="1334"/>
      <c r="J260" s="1333"/>
      <c r="K260" s="2092"/>
      <c r="L260" s="2092"/>
      <c r="M260" s="50"/>
      <c r="N260" s="50"/>
      <c r="O260" s="50"/>
      <c r="P260" s="1843">
        <f t="shared" si="17"/>
        <v>0.20332602739726027</v>
      </c>
      <c r="Q260" s="1844">
        <f>($D$151*$F$151*списки!$C$65+$F$152*$D$152*списки!$C$66+$F$153*$D$153*списки!$C$67+$F$154*$D$154*списки!$C$68+$F$155*$D$155*списки!$C$69+$F$156*$D$156*списки!$C$70)*($J280/SUM($J$273:$J$284))*10^-6   +N("1 / 1 000 000 - переводной коэффициент [Вт-ч] --&gt; [тыс. кВт-ч]")</f>
        <v>0.20332602739726027</v>
      </c>
      <c r="R260" s="1844">
        <f>$D$161*списки!$C$72*($J280/SUM($J$273:$J$284))*10^-3   +N("1 / 1000 - переводной коэффициент [кВт-ч] --&gt; [тыс. кВт-ч]")</f>
        <v>0</v>
      </c>
      <c r="S260" s="1844">
        <f t="shared" si="18"/>
        <v>0</v>
      </c>
      <c r="T260" s="1844">
        <f>$D$167*IFERROR('Расчет базового уровня'!$G$148,0)*24/1000</f>
        <v>0</v>
      </c>
      <c r="U260" s="1844">
        <f>$D$171*'Расчет базового уровня'!$N$172*24/1000</f>
        <v>0</v>
      </c>
      <c r="V260" s="1844">
        <f>$D$175*'Расчет базового уровня'!$N$167*24/1000</f>
        <v>0</v>
      </c>
      <c r="W260" s="1845">
        <f t="shared" si="13"/>
        <v>0</v>
      </c>
      <c r="X260" s="1322"/>
      <c r="Y260" s="1843">
        <f t="shared" si="19"/>
        <v>1.5989999999999998</v>
      </c>
      <c r="Z260" s="1844">
        <f t="shared" si="20"/>
        <v>1.5989999999999998</v>
      </c>
      <c r="AA260" s="1844">
        <f t="shared" si="14"/>
        <v>0</v>
      </c>
      <c r="AB260" s="1844">
        <f t="shared" si="15"/>
        <v>0</v>
      </c>
      <c r="AC260" s="1844">
        <f t="shared" si="21"/>
        <v>0</v>
      </c>
      <c r="AD260" s="1844">
        <f t="shared" si="16"/>
        <v>0</v>
      </c>
      <c r="AE260" s="1844">
        <f t="shared" si="16"/>
        <v>0</v>
      </c>
      <c r="AF260" s="1844">
        <f t="shared" si="22"/>
        <v>0</v>
      </c>
      <c r="AG260" s="14"/>
      <c r="AH260" s="14"/>
    </row>
    <row r="261" spans="1:34" s="7" customFormat="1" x14ac:dyDescent="0.25">
      <c r="A261" s="1324"/>
      <c r="B261" s="1326">
        <f t="shared" si="23"/>
        <v>154</v>
      </c>
      <c r="C261" s="1803" t="str">
        <f>INDEX(months12,9)&amp;IFERROR(IF(DATEVALUE("1 "&amp;INDEX(months12,9)&amp;" "&amp;E$202)&lt;=DATEVALUE("1 "&amp;D$202&amp;" "&amp;E$202)," "&amp;E$202," "&amp;E$202-1),"")</f>
        <v>сентябрь 2017</v>
      </c>
      <c r="D261" s="1937"/>
      <c r="E261" s="1937"/>
      <c r="F261" s="1337">
        <v>1.466</v>
      </c>
      <c r="G261" s="1337"/>
      <c r="H261" s="1337"/>
      <c r="I261" s="1334"/>
      <c r="J261" s="1333"/>
      <c r="K261" s="2092"/>
      <c r="L261" s="2092"/>
      <c r="M261" s="50"/>
      <c r="N261" s="50"/>
      <c r="O261" s="50"/>
      <c r="P261" s="1843">
        <f t="shared" si="17"/>
        <v>0.19676712328767121</v>
      </c>
      <c r="Q261" s="1844">
        <f>($D$151*$F$151*списки!$C$65+$F$152*$D$152*списки!$C$66+$F$153*$D$153*списки!$C$67+$F$154*$D$154*списки!$C$68+$F$155*$D$155*списки!$C$69+$F$156*$D$156*списки!$C$70)*($J281/SUM($J$273:$J$284))*10^-6   +N("1 / 1 000 000 - переводной коэффициент [Вт-ч] --&gt; [тыс. кВт-ч]")</f>
        <v>0.19676712328767121</v>
      </c>
      <c r="R261" s="1844">
        <f>$D$161*списки!$C$72*($J281/SUM($J$273:$J$284))*10^-3   +N("1 / 1000 - переводной коэффициент [кВт-ч] --&gt; [тыс. кВт-ч]")</f>
        <v>0</v>
      </c>
      <c r="S261" s="1844">
        <f t="shared" si="18"/>
        <v>0</v>
      </c>
      <c r="T261" s="1844">
        <f>$D$167*IFERROR('Расчет базового уровня'!$G$148,0)*24/1000</f>
        <v>0</v>
      </c>
      <c r="U261" s="1844">
        <f>$D$171*'Расчет базового уровня'!$O$172*24/1000</f>
        <v>0</v>
      </c>
      <c r="V261" s="1844">
        <f>$D$175*'Расчет базового уровня'!$O$167*24/1000</f>
        <v>0</v>
      </c>
      <c r="W261" s="1845">
        <f t="shared" si="13"/>
        <v>0</v>
      </c>
      <c r="X261" s="1322"/>
      <c r="Y261" s="1843">
        <f t="shared" si="19"/>
        <v>1.4660000000000002</v>
      </c>
      <c r="Z261" s="1844">
        <f t="shared" si="20"/>
        <v>1.4660000000000002</v>
      </c>
      <c r="AA261" s="1844">
        <f t="shared" si="14"/>
        <v>0</v>
      </c>
      <c r="AB261" s="1844">
        <f t="shared" si="15"/>
        <v>0</v>
      </c>
      <c r="AC261" s="1844">
        <f t="shared" si="21"/>
        <v>0</v>
      </c>
      <c r="AD261" s="1844">
        <f t="shared" si="16"/>
        <v>0</v>
      </c>
      <c r="AE261" s="1844">
        <f t="shared" si="16"/>
        <v>0</v>
      </c>
      <c r="AF261" s="1844">
        <f t="shared" si="22"/>
        <v>0</v>
      </c>
      <c r="AG261" s="14"/>
      <c r="AH261" s="14"/>
    </row>
    <row r="262" spans="1:34" s="7" customFormat="1" x14ac:dyDescent="0.25">
      <c r="A262" s="1324"/>
      <c r="B262" s="1326">
        <f t="shared" si="23"/>
        <v>155</v>
      </c>
      <c r="C262" s="1803" t="str">
        <f>INDEX(months12,10)&amp;IFERROR(IF(DATEVALUE("1 "&amp;INDEX(months12,10)&amp;" "&amp;E$202)&lt;=DATEVALUE("1 "&amp;D$202&amp;" "&amp;E$202)," "&amp;E$202," "&amp;E$202-1),"")</f>
        <v>октябрь 2017</v>
      </c>
      <c r="D262" s="1937"/>
      <c r="E262" s="1937"/>
      <c r="F262" s="1337">
        <v>2.2970000000000002</v>
      </c>
      <c r="G262" s="1337"/>
      <c r="H262" s="1337"/>
      <c r="I262" s="1334"/>
      <c r="J262" s="1333"/>
      <c r="K262" s="2092"/>
      <c r="L262" s="2092"/>
      <c r="M262" s="50"/>
      <c r="N262" s="50"/>
      <c r="O262" s="50"/>
      <c r="P262" s="1843">
        <f t="shared" si="17"/>
        <v>0.20332602739726027</v>
      </c>
      <c r="Q262" s="1844">
        <f>($D$151*$F$151*списки!$C$65+$F$152*$D$152*списки!$C$66+$F$153*$D$153*списки!$C$67+$F$154*$D$154*списки!$C$68+$F$155*$D$155*списки!$C$69+$F$156*$D$156*списки!$C$70)*($J282/SUM($J$273:$J$284))*10^-6   +N("1 / 1 000 000 - переводной коэффициент [Вт-ч] --&gt; [тыс. кВт-ч]")</f>
        <v>0.20332602739726027</v>
      </c>
      <c r="R262" s="1844">
        <f>$D$161*списки!$C$72*($J282/SUM($J$273:$J$284))*10^-3   +N("1 / 1000 - переводной коэффициент [кВт-ч] --&gt; [тыс. кВт-ч]")</f>
        <v>0</v>
      </c>
      <c r="S262" s="1844">
        <f t="shared" si="18"/>
        <v>0</v>
      </c>
      <c r="T262" s="1844">
        <f>$D$167*IFERROR('Расчет базового уровня'!$G$148,0)*24/1000</f>
        <v>0</v>
      </c>
      <c r="U262" s="1844">
        <f>$D$171*'Расчет базового уровня'!$P$172*24/1000</f>
        <v>0</v>
      </c>
      <c r="V262" s="1844">
        <f>$D$175*'Расчет базового уровня'!$P$167*24/1000</f>
        <v>0</v>
      </c>
      <c r="W262" s="1845">
        <f t="shared" si="13"/>
        <v>0</v>
      </c>
      <c r="X262" s="1322"/>
      <c r="Y262" s="1843">
        <f t="shared" si="19"/>
        <v>2.2970000000000002</v>
      </c>
      <c r="Z262" s="1844">
        <f t="shared" si="20"/>
        <v>2.2970000000000002</v>
      </c>
      <c r="AA262" s="1844">
        <f t="shared" si="14"/>
        <v>0</v>
      </c>
      <c r="AB262" s="1844">
        <f t="shared" si="15"/>
        <v>0</v>
      </c>
      <c r="AC262" s="1844">
        <f t="shared" si="21"/>
        <v>0</v>
      </c>
      <c r="AD262" s="1844">
        <f t="shared" si="16"/>
        <v>0</v>
      </c>
      <c r="AE262" s="1844">
        <f t="shared" si="16"/>
        <v>0</v>
      </c>
      <c r="AF262" s="1844">
        <f t="shared" si="22"/>
        <v>0</v>
      </c>
      <c r="AG262" s="14"/>
      <c r="AH262" s="14"/>
    </row>
    <row r="263" spans="1:34" s="7" customFormat="1" x14ac:dyDescent="0.25">
      <c r="A263" s="1324"/>
      <c r="B263" s="1326">
        <f t="shared" si="23"/>
        <v>156</v>
      </c>
      <c r="C263" s="1803" t="str">
        <f>INDEX(months12,11)&amp;IFERROR(IF(DATEVALUE("1 "&amp;INDEX(months12,11)&amp;" "&amp;E$202)&lt;=DATEVALUE("1 "&amp;D$202&amp;" "&amp;E$202)," "&amp;E$202," "&amp;E$202-1),"")</f>
        <v>ноябрь 2017</v>
      </c>
      <c r="D263" s="1937"/>
      <c r="E263" s="1937"/>
      <c r="F263" s="1337">
        <v>2.9289999999999998</v>
      </c>
      <c r="G263" s="1337"/>
      <c r="H263" s="1337"/>
      <c r="I263" s="1334"/>
      <c r="J263" s="1333"/>
      <c r="K263" s="2092"/>
      <c r="L263" s="2092"/>
      <c r="M263" s="50"/>
      <c r="N263" s="50"/>
      <c r="O263" s="50"/>
      <c r="P263" s="1843">
        <f t="shared" si="17"/>
        <v>0.19676712328767121</v>
      </c>
      <c r="Q263" s="1844">
        <f>($D$151*$F$151*списки!$C$65+$F$152*$D$152*списки!$C$66+$F$153*$D$153*списки!$C$67+$F$154*$D$154*списки!$C$68+$F$155*$D$155*списки!$C$69+$F$156*$D$156*списки!$C$70)*($J283/SUM($J$273:$J$284))*10^-6   +N("1 / 1 000 000 - переводной коэффициент [Вт-ч] --&gt; [тыс. кВт-ч]")</f>
        <v>0.19676712328767121</v>
      </c>
      <c r="R263" s="1844">
        <f>$D$161*списки!$C$72*($J283/SUM($J$273:$J$284))*10^-3   +N("1 / 1000 - переводной коэффициент [кВт-ч] --&gt; [тыс. кВт-ч]")</f>
        <v>0</v>
      </c>
      <c r="S263" s="1844">
        <f t="shared" si="18"/>
        <v>0</v>
      </c>
      <c r="T263" s="1844">
        <f>$D$167*IFERROR('Расчет базового уровня'!$G$148,0)*24/1000</f>
        <v>0</v>
      </c>
      <c r="U263" s="1844">
        <f>$D$171*'Расчет базового уровня'!$Q$172*24/1000</f>
        <v>0</v>
      </c>
      <c r="V263" s="1844">
        <f>$D$175*'Расчет базового уровня'!$Q$167*24/1000</f>
        <v>0</v>
      </c>
      <c r="W263" s="1845">
        <f t="shared" si="13"/>
        <v>0</v>
      </c>
      <c r="X263" s="1322"/>
      <c r="Y263" s="1843">
        <f t="shared" si="19"/>
        <v>2.9290000000000003</v>
      </c>
      <c r="Z263" s="1844">
        <f t="shared" si="20"/>
        <v>2.9290000000000003</v>
      </c>
      <c r="AA263" s="1844">
        <f t="shared" si="14"/>
        <v>0</v>
      </c>
      <c r="AB263" s="1844">
        <f t="shared" si="15"/>
        <v>0</v>
      </c>
      <c r="AC263" s="1844">
        <f t="shared" si="21"/>
        <v>0</v>
      </c>
      <c r="AD263" s="1844">
        <f t="shared" si="16"/>
        <v>0</v>
      </c>
      <c r="AE263" s="1844">
        <f t="shared" si="16"/>
        <v>0</v>
      </c>
      <c r="AF263" s="1844">
        <f t="shared" si="22"/>
        <v>0</v>
      </c>
      <c r="AG263" s="14"/>
      <c r="AH263" s="14"/>
    </row>
    <row r="264" spans="1:34" s="7" customFormat="1" x14ac:dyDescent="0.25">
      <c r="A264" s="1324"/>
      <c r="B264" s="1326">
        <f t="shared" si="23"/>
        <v>157</v>
      </c>
      <c r="C264" s="1804" t="str">
        <f>INDEX(months12,12)&amp;IFERROR(IF(DATEVALUE("1 "&amp;INDEX(months12,12)&amp;" "&amp;E$202)&lt;=DATEVALUE("1 "&amp;D$202&amp;" "&amp;E$202)," "&amp;E$202," "&amp;E$202-1),"")</f>
        <v>декабрь 2017</v>
      </c>
      <c r="D264" s="1938"/>
      <c r="E264" s="1938"/>
      <c r="F264" s="1847">
        <v>0.125</v>
      </c>
      <c r="G264" s="1847"/>
      <c r="H264" s="1847"/>
      <c r="I264" s="1872"/>
      <c r="J264" s="1873"/>
      <c r="K264" s="2092"/>
      <c r="L264" s="2092"/>
      <c r="M264" s="50"/>
      <c r="N264" s="50"/>
      <c r="O264" s="50"/>
      <c r="P264" s="1843">
        <f t="shared" si="17"/>
        <v>0.20332602739726027</v>
      </c>
      <c r="Q264" s="1844">
        <f>($D$151*$F$151*списки!$C$65+$F$152*$D$152*списки!$C$66+$F$153*$D$153*списки!$C$67+$F$154*$D$154*списки!$C$68+$F$155*$D$155*списки!$C$69+$F$156*$D$156*списки!$C$70)*($J284/SUM($J$273:$J$284))*10^-6   +N("1 / 1 000 000 - переводной коэффициент [Вт-ч] --&gt; [тыс. кВт-ч]")</f>
        <v>0.20332602739726027</v>
      </c>
      <c r="R264" s="1844">
        <f>$D$161*списки!$C$72*($J284/SUM($J$273:$J$284))*10^-3   +N("1 / 1000 - переводной коэффициент [кВт-ч] --&gt; [тыс. кВт-ч]")</f>
        <v>0</v>
      </c>
      <c r="S264" s="1844">
        <f t="shared" si="18"/>
        <v>0</v>
      </c>
      <c r="T264" s="1844">
        <f>$D$167*IFERROR('Расчет базового уровня'!$G$148,0)*24/1000</f>
        <v>0</v>
      </c>
      <c r="U264" s="1844">
        <f>$D$171*'Расчет базового уровня'!$R$172*24/1000</f>
        <v>0</v>
      </c>
      <c r="V264" s="1844">
        <f>$D$175*'Расчет базового уровня'!$R$167*24/1000</f>
        <v>0</v>
      </c>
      <c r="W264" s="1845">
        <f t="shared" si="13"/>
        <v>0</v>
      </c>
      <c r="X264" s="1322"/>
      <c r="Y264" s="1843">
        <f t="shared" si="19"/>
        <v>0.125</v>
      </c>
      <c r="Z264" s="1844">
        <f t="shared" si="20"/>
        <v>0.125</v>
      </c>
      <c r="AA264" s="1844">
        <f t="shared" si="14"/>
        <v>0</v>
      </c>
      <c r="AB264" s="1844">
        <f t="shared" si="15"/>
        <v>0</v>
      </c>
      <c r="AC264" s="1844">
        <f t="shared" si="21"/>
        <v>0</v>
      </c>
      <c r="AD264" s="1844">
        <f t="shared" si="16"/>
        <v>0</v>
      </c>
      <c r="AE264" s="1844">
        <f t="shared" si="16"/>
        <v>0</v>
      </c>
      <c r="AF264" s="1844">
        <f t="shared" si="22"/>
        <v>0</v>
      </c>
      <c r="AG264" s="14"/>
      <c r="AH264" s="14"/>
    </row>
    <row r="265" spans="1:34" s="7" customFormat="1" x14ac:dyDescent="0.25">
      <c r="A265" s="1324"/>
      <c r="B265" s="1324"/>
      <c r="C265" s="1805" t="s">
        <v>983</v>
      </c>
      <c r="D265" s="1921">
        <f t="shared" ref="D265:J265" si="24">SUM(D253:D264)</f>
        <v>0</v>
      </c>
      <c r="E265" s="1921">
        <f t="shared" si="24"/>
        <v>0</v>
      </c>
      <c r="F265" s="1921">
        <f t="shared" si="24"/>
        <v>22.856000000000002</v>
      </c>
      <c r="G265" s="1921">
        <f t="shared" si="24"/>
        <v>0</v>
      </c>
      <c r="H265" s="1921">
        <f t="shared" si="24"/>
        <v>0</v>
      </c>
      <c r="I265" s="1921">
        <f t="shared" si="24"/>
        <v>0</v>
      </c>
      <c r="J265" s="1922">
        <f t="shared" si="24"/>
        <v>0</v>
      </c>
      <c r="K265" s="2092"/>
      <c r="L265" s="2092"/>
      <c r="M265" s="50"/>
      <c r="N265" s="50"/>
      <c r="O265" s="50"/>
      <c r="P265" s="1843">
        <f t="shared" ref="P265:W265" si="25">SUM(P253:P264)</f>
        <v>2.3940000000000001</v>
      </c>
      <c r="Q265" s="1844">
        <f t="shared" si="25"/>
        <v>2.3940000000000001</v>
      </c>
      <c r="R265" s="1844">
        <f t="shared" si="25"/>
        <v>0</v>
      </c>
      <c r="S265" s="1844">
        <f t="shared" si="25"/>
        <v>0</v>
      </c>
      <c r="T265" s="1844">
        <f t="shared" si="25"/>
        <v>0</v>
      </c>
      <c r="U265" s="1844">
        <f t="shared" si="25"/>
        <v>0</v>
      </c>
      <c r="V265" s="1844">
        <f t="shared" si="25"/>
        <v>0</v>
      </c>
      <c r="W265" s="1844">
        <f t="shared" si="25"/>
        <v>0</v>
      </c>
      <c r="X265" s="1322"/>
      <c r="Y265" s="1843">
        <f>ROUND(SUM(Z265:AB265,AF265),5)</f>
        <v>22.856000000000002</v>
      </c>
      <c r="Z265" s="1844">
        <f>ROUND(IF(G265=0,IFERROR($F265*Q265/$P265,0),G265),5)</f>
        <v>22.856000000000002</v>
      </c>
      <c r="AA265" s="1844">
        <f>ROUND(IF(H265=0,IF(AND(G265&lt;&gt;0,$D$161&lt;&gt;0,SUM($D$165,$D$169,$D$173,$D$179)=0),F265-G265,IFERROR($F265*R265/$P265,0)),H265),5)</f>
        <v>0</v>
      </c>
      <c r="AB265" s="1844">
        <f>ROUND(IF(I265=0,IF(AND(G265&lt;&gt;0,$D$161=0,SUM($D$165,$D$169,$D$173,$D$179)&gt;0),F265-G265,IFERROR($F265*S265/$P265,0)),I265),5)</f>
        <v>0</v>
      </c>
      <c r="AC265" s="1844">
        <f>ROUND(IFERROR($AB265*T265/$S265,0),5)</f>
        <v>0</v>
      </c>
      <c r="AD265" s="1844">
        <f>ROUND(IFERROR($AB265*U265/$S265,0),5)</f>
        <v>0</v>
      </c>
      <c r="AE265" s="1844">
        <f>ROUND(IFERROR($AB265*V265/$S265,0),5)</f>
        <v>0</v>
      </c>
      <c r="AF265" s="1844">
        <f>ROUND(IFERROR(IF(J265=0,$F265*W265/$P265,P265),0),5)</f>
        <v>0</v>
      </c>
      <c r="AG265" s="1842">
        <f>Y265-SUM(Z265:AB265,AF265)</f>
        <v>0</v>
      </c>
      <c r="AH265" s="14"/>
    </row>
    <row r="266" spans="1:34" s="7" customFormat="1" ht="29.25" customHeight="1" x14ac:dyDescent="0.25">
      <c r="A266" s="1324"/>
      <c r="B266" s="1324"/>
      <c r="C266" s="50"/>
      <c r="D266" s="50"/>
      <c r="E266" s="1784" t="str">
        <f>IF(E265&gt;10000,"Вводите показания в ТЫС кВтч","")</f>
        <v/>
      </c>
      <c r="F266" s="2054"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54"/>
      <c r="H266" s="2054"/>
      <c r="I266" s="2054"/>
      <c r="J266" s="2054"/>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4"/>
      <c r="B267" s="1324"/>
      <c r="C267" s="50"/>
      <c r="D267" s="50"/>
      <c r="E267" s="50"/>
      <c r="F267" s="2040" t="str">
        <f>IF(SUM(G265:J265)&gt;F265,"Сумма компонентов больше графы Всего","")</f>
        <v/>
      </c>
      <c r="G267" s="2040"/>
      <c r="H267" s="2040"/>
      <c r="I267" s="2040"/>
      <c r="J267" s="2040"/>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4"/>
      <c r="B268" s="1324"/>
      <c r="C268" s="50"/>
      <c r="D268" s="50"/>
      <c r="E268" s="50"/>
      <c r="F268" s="2040" t="str">
        <f>IF(AND(G265&lt;&gt;0,F265&gt;G265,H265=0,I265=0,J265=0,SUM(D179+D175+D171+D167+D161)=0),"Есть неизвестный потребитель электроэнергии. Проверьте, действительно ли лифты и насосы отсутствуют","")</f>
        <v/>
      </c>
      <c r="G268" s="2040"/>
      <c r="H268" s="2040"/>
      <c r="I268" s="2040"/>
      <c r="J268" s="2040"/>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4"/>
      <c r="B269" s="1324"/>
      <c r="C269" s="1324"/>
      <c r="D269" s="1324"/>
      <c r="E269" s="1324"/>
      <c r="F269" s="2075"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2075"/>
      <c r="H269" s="2075"/>
      <c r="I269" s="2075"/>
      <c r="J269" s="2075"/>
      <c r="K269" s="2075"/>
      <c r="L269" s="2075"/>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4"/>
      <c r="B270" s="1325">
        <f>7/8</f>
        <v>0.875</v>
      </c>
      <c r="C270" s="2055" t="s">
        <v>2476</v>
      </c>
      <c r="D270" s="2055"/>
      <c r="E270" s="2055"/>
      <c r="F270" s="2055"/>
      <c r="G270" s="2055"/>
      <c r="H270" s="2055"/>
      <c r="I270" s="2055"/>
      <c r="J270" s="2055"/>
      <c r="K270" s="2055"/>
      <c r="L270" s="1780"/>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4"/>
      <c r="B271" s="1324"/>
      <c r="C271" s="1808" t="s">
        <v>2454</v>
      </c>
      <c r="D271" s="2056" t="s">
        <v>2162</v>
      </c>
      <c r="E271" s="2057"/>
      <c r="F271" s="2049" t="s">
        <v>2161</v>
      </c>
      <c r="G271" s="2049"/>
      <c r="H271" s="2064" t="s">
        <v>1260</v>
      </c>
      <c r="I271" s="2073" t="s">
        <v>1264</v>
      </c>
      <c r="J271" s="2073" t="s">
        <v>2467</v>
      </c>
      <c r="K271" s="2060" t="s">
        <v>1266</v>
      </c>
      <c r="L271" s="14"/>
      <c r="M271" s="1979" t="s">
        <v>2468</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4"/>
      <c r="B272" s="1324"/>
      <c r="C272" s="1806" t="s">
        <v>2459</v>
      </c>
      <c r="D272" s="1866" t="s">
        <v>985</v>
      </c>
      <c r="E272" s="1867" t="s">
        <v>2464</v>
      </c>
      <c r="F272" s="1866" t="s">
        <v>1261</v>
      </c>
      <c r="G272" s="1867" t="s">
        <v>2465</v>
      </c>
      <c r="H272" s="2064"/>
      <c r="I272" s="2073"/>
      <c r="J272" s="2073"/>
      <c r="K272" s="2061"/>
      <c r="L272" s="14"/>
      <c r="M272" s="1979"/>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4"/>
      <c r="B273" s="1326">
        <f>B264+1</f>
        <v>158</v>
      </c>
      <c r="C273" s="1802" t="str">
        <f>INDEX(months12,1)&amp;IFERROR(IF(DATEVALUE("1 "&amp;INDEX(months12,1)&amp;" "&amp;E$202)&lt;=DATEVALUE("1 "&amp;D$202&amp;" "&amp;E$202)," "&amp;E$202," "&amp;E$202-1),"")</f>
        <v>январь 2018</v>
      </c>
      <c r="D273" s="1874">
        <f>IFERROR(Климатология!AI2,"")</f>
        <v>-13.9</v>
      </c>
      <c r="E273" s="1875">
        <v>-11.2</v>
      </c>
      <c r="F273" s="1876">
        <f>IFERROR(Климатология!AL2,"")</f>
        <v>1050.8999999999999</v>
      </c>
      <c r="G273" s="1876">
        <f ca="1">IFERROR((списки!$C$56-IF(I273&lt;0.5*J273,8,E273))*I273,"")</f>
        <v>967.19999999999993</v>
      </c>
      <c r="H273" s="1877">
        <f ca="1">IFERROR(IF(G273=0,0,F273/G273),0)</f>
        <v>1.0865384615384615</v>
      </c>
      <c r="I273" s="1874">
        <f t="shared" ref="I273:I284" ca="1" si="26">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74">
        <v>31</v>
      </c>
      <c r="K273" s="1878">
        <f ca="1">IF(ISBLANK(E273),"",IF(I273&lt;0.5*J273,8,E273)*I273)</f>
        <v>-347.2</v>
      </c>
      <c r="L273" s="1268">
        <f ca="1">IF(AND(I273&gt;0,E273=0),1,0)</f>
        <v>0</v>
      </c>
      <c r="M273" s="1896">
        <f ca="1">(списки!C$60*N(I273)+списки!C$61*(J273-N(I273)))/J273</f>
        <v>5</v>
      </c>
      <c r="N273" s="14"/>
      <c r="O273" s="14"/>
      <c r="P273" s="1893"/>
      <c r="Q273" s="14"/>
      <c r="R273" s="14"/>
      <c r="S273" s="14"/>
      <c r="T273" s="14"/>
      <c r="U273" s="14"/>
      <c r="V273" s="14"/>
      <c r="W273" s="14"/>
      <c r="X273" s="14"/>
      <c r="Y273" s="14"/>
      <c r="Z273" s="14"/>
      <c r="AA273" s="14"/>
      <c r="AB273" s="14"/>
      <c r="AC273" s="14"/>
      <c r="AD273" s="14"/>
      <c r="AE273" s="14"/>
      <c r="AF273" s="14"/>
      <c r="AG273" s="14"/>
      <c r="AH273" s="14"/>
    </row>
    <row r="274" spans="1:34" x14ac:dyDescent="0.25">
      <c r="A274" s="1324"/>
      <c r="B274" s="1326">
        <f>B273+1</f>
        <v>159</v>
      </c>
      <c r="C274" s="1803" t="str">
        <f>INDEX(months12,2)&amp;IFERROR(IF(DATEVALUE("1 "&amp;INDEX(months12,2)&amp;" "&amp;E$202)&lt;=DATEVALUE("1 "&amp;D$202&amp;" "&amp;E$202)," "&amp;E$202," "&amp;E$202-1),"")</f>
        <v>февраль 2018</v>
      </c>
      <c r="D274" s="1313">
        <f>IFERROR(Климатология!AM2,"")</f>
        <v>-12.3</v>
      </c>
      <c r="E274" s="1338">
        <v>-11.9</v>
      </c>
      <c r="F274" s="1415">
        <f>IFERROR(Климатология!AP2,"")</f>
        <v>904.39999999999986</v>
      </c>
      <c r="G274" s="1876">
        <f ca="1">IFERROR((списки!$C$56-IF(I274&lt;0.5*J274,8,E274))*I274,"")</f>
        <v>893.19999999999993</v>
      </c>
      <c r="H274" s="1315">
        <f t="shared" ref="H274:H284" ca="1" si="27">IFERROR(IF(G274=0,0,F274/G274),0)</f>
        <v>1.0125391849529779</v>
      </c>
      <c r="I274" s="1874">
        <f t="shared" ca="1" si="26"/>
        <v>28</v>
      </c>
      <c r="J274" s="1693">
        <f>IFERROR(EDATE(DATEVALUE(C274),1)-DATEVALUE(C274),28)</f>
        <v>28</v>
      </c>
      <c r="K274" s="1316">
        <f t="shared" ref="K274:K278" ca="1" si="28">IF(ISBLANK(E274),"",IF(I274&lt;0.5*J274,8,E274)*I274)</f>
        <v>-333.2</v>
      </c>
      <c r="L274" s="1268">
        <f t="shared" ref="L274:L285" ca="1" si="29">IF(AND(I274&gt;0,E274=0),1,0)</f>
        <v>0</v>
      </c>
      <c r="M274" s="1896">
        <f ca="1">(списки!C$60*N(I274)+списки!C$61*(J274-N(I274)))/J274</f>
        <v>5</v>
      </c>
      <c r="N274" s="14"/>
      <c r="O274" s="14"/>
      <c r="P274" s="1893"/>
      <c r="Q274" s="14"/>
      <c r="R274" s="14"/>
      <c r="S274" s="14"/>
      <c r="T274" s="14"/>
      <c r="U274" s="14"/>
      <c r="V274" s="14"/>
      <c r="W274" s="14"/>
      <c r="X274" s="14"/>
      <c r="Y274" s="14"/>
      <c r="Z274" s="14"/>
      <c r="AA274" s="14"/>
      <c r="AB274" s="14"/>
      <c r="AC274" s="14"/>
      <c r="AD274" s="14"/>
      <c r="AE274" s="14"/>
      <c r="AF274" s="14"/>
      <c r="AG274" s="14"/>
      <c r="AH274" s="14"/>
    </row>
    <row r="275" spans="1:34" x14ac:dyDescent="0.25">
      <c r="A275" s="1324"/>
      <c r="B275" s="1326">
        <f t="shared" ref="B275:B284" si="30">B274+1</f>
        <v>160</v>
      </c>
      <c r="C275" s="1803" t="str">
        <f>INDEX(months12,3)&amp;IFERROR(IF(DATEVALUE("1 "&amp;INDEX(months12,3)&amp;" "&amp;E$202)&lt;=DATEVALUE("1 "&amp;D$202&amp;" "&amp;E$202)," "&amp;E$202," "&amp;E$202-1),"")</f>
        <v>март 2018</v>
      </c>
      <c r="D275" s="1313">
        <f>IFERROR(Климатология!AQ2,"")</f>
        <v>-4.5</v>
      </c>
      <c r="E275" s="1338">
        <v>-8.9</v>
      </c>
      <c r="F275" s="1415">
        <f>IFERROR(Климатология!AT2,"")</f>
        <v>759.5</v>
      </c>
      <c r="G275" s="1876">
        <f ca="1">IFERROR((списки!$C$56-IF(I275&lt;0.5*J275,8,E275))*I275,"")</f>
        <v>895.9</v>
      </c>
      <c r="H275" s="1315">
        <f t="shared" ca="1" si="27"/>
        <v>0.84775086505190311</v>
      </c>
      <c r="I275" s="1874">
        <f t="shared" ca="1" si="26"/>
        <v>31</v>
      </c>
      <c r="J275" s="1313">
        <v>31</v>
      </c>
      <c r="K275" s="1316">
        <f t="shared" ca="1" si="28"/>
        <v>-275.90000000000003</v>
      </c>
      <c r="L275" s="1268">
        <f t="shared" ca="1" si="29"/>
        <v>0</v>
      </c>
      <c r="M275" s="1896">
        <f ca="1">(списки!C$60*N(I275)+списки!C$61*(J275-N(I275)))/J275</f>
        <v>5</v>
      </c>
      <c r="N275" s="14"/>
      <c r="O275" s="14"/>
      <c r="P275" s="1893"/>
      <c r="Q275" s="14"/>
      <c r="R275" s="14"/>
      <c r="S275" s="14"/>
      <c r="T275" s="14"/>
      <c r="U275" s="14"/>
      <c r="V275" s="14"/>
      <c r="W275" s="14"/>
      <c r="X275" s="14"/>
      <c r="Y275" s="14"/>
      <c r="Z275" s="14"/>
      <c r="AA275" s="14"/>
      <c r="AB275" s="14"/>
      <c r="AC275" s="14"/>
      <c r="AD275" s="14"/>
      <c r="AE275" s="14"/>
      <c r="AF275" s="14"/>
      <c r="AG275" s="14"/>
      <c r="AH275" s="14"/>
    </row>
    <row r="276" spans="1:34" x14ac:dyDescent="0.25">
      <c r="A276" s="1324"/>
      <c r="B276" s="1326">
        <f t="shared" si="30"/>
        <v>161</v>
      </c>
      <c r="C276" s="1803" t="str">
        <f>INDEX(months12,4)&amp;IFERROR(IF(DATEVALUE("1 "&amp;INDEX(months12,4)&amp;" "&amp;E$202)&lt;=DATEVALUE("1 "&amp;D$202&amp;" "&amp;E$202)," "&amp;E$202," "&amp;E$202-1),"")</f>
        <v>апрель 2018</v>
      </c>
      <c r="D276" s="1313">
        <f>IFERROR(Климатология!AU2,"")</f>
        <v>3.5</v>
      </c>
      <c r="E276" s="1338">
        <v>2.6</v>
      </c>
      <c r="F276" s="1415">
        <f>IFERROR(Климатология!AX2,"")</f>
        <v>495</v>
      </c>
      <c r="G276" s="1876">
        <f ca="1">IFERROR((списки!$C$56-IF(I276&lt;0.5*J276,8,E276))*I276,"")</f>
        <v>522</v>
      </c>
      <c r="H276" s="1315">
        <f t="shared" ca="1" si="27"/>
        <v>0.94827586206896552</v>
      </c>
      <c r="I276" s="1874">
        <f t="shared" ca="1" si="26"/>
        <v>30</v>
      </c>
      <c r="J276" s="1313">
        <v>30</v>
      </c>
      <c r="K276" s="1316">
        <f t="shared" ca="1" si="28"/>
        <v>78</v>
      </c>
      <c r="L276" s="1268">
        <f t="shared" ca="1" si="29"/>
        <v>0</v>
      </c>
      <c r="M276" s="1896">
        <f ca="1">(списки!C$60*N(I276)+списки!C$61*(J276-N(I276)))/J276</f>
        <v>5</v>
      </c>
      <c r="N276" s="14"/>
      <c r="O276" s="14"/>
      <c r="P276" s="1893"/>
      <c r="Q276" s="14"/>
      <c r="R276" s="14"/>
      <c r="S276" s="14"/>
      <c r="T276" s="14"/>
      <c r="U276" s="14"/>
      <c r="V276" s="14"/>
      <c r="W276" s="14"/>
      <c r="X276" s="14"/>
      <c r="Y276" s="14"/>
      <c r="Z276" s="14"/>
      <c r="AA276" s="14"/>
      <c r="AB276" s="14"/>
      <c r="AC276" s="14"/>
      <c r="AD276" s="14"/>
      <c r="AE276" s="14"/>
      <c r="AF276" s="14"/>
      <c r="AG276" s="14"/>
      <c r="AH276" s="14"/>
    </row>
    <row r="277" spans="1:34" x14ac:dyDescent="0.25">
      <c r="A277" s="1324"/>
      <c r="B277" s="1326">
        <f t="shared" si="30"/>
        <v>162</v>
      </c>
      <c r="C277" s="1803" t="str">
        <f>INDEX(months12,5)&amp;IFERROR(IF(DATEVALUE("1 "&amp;INDEX(months12,5)&amp;" "&amp;E$202)&lt;=DATEVALUE("1 "&amp;D$202&amp;" "&amp;E$202)," "&amp;E$202," "&amp;E$202-1),"")</f>
        <v>май 2018</v>
      </c>
      <c r="D277" s="1313">
        <f>IFERROR(Климатология!AY2,"")</f>
        <v>10.6</v>
      </c>
      <c r="E277" s="1338">
        <v>7</v>
      </c>
      <c r="F277" s="1415">
        <f>IFERROR(Климатология!BB2,"")</f>
        <v>61.1</v>
      </c>
      <c r="G277" s="1876">
        <f ca="1">IFERROR((списки!$C$56-IF(I277&lt;0.5*J277,8,E277))*I277,"")</f>
        <v>156</v>
      </c>
      <c r="H277" s="1315">
        <f t="shared" ca="1" si="27"/>
        <v>0.39166666666666666</v>
      </c>
      <c r="I277" s="1874">
        <f t="shared" ca="1" si="26"/>
        <v>13</v>
      </c>
      <c r="J277" s="1313">
        <v>31</v>
      </c>
      <c r="K277" s="1316">
        <f t="shared" ca="1" si="28"/>
        <v>104</v>
      </c>
      <c r="L277" s="1268">
        <f t="shared" ca="1" si="29"/>
        <v>0</v>
      </c>
      <c r="M277" s="1896">
        <f ca="1">(списки!C$60*N(I277)+списки!C$61*(J277-N(I277)))/J277</f>
        <v>10.806451612903226</v>
      </c>
      <c r="N277" s="14"/>
      <c r="O277" s="14"/>
      <c r="P277" s="1893"/>
      <c r="Q277" s="14"/>
      <c r="R277" s="14"/>
      <c r="S277" s="14"/>
      <c r="T277" s="14"/>
      <c r="U277" s="14"/>
      <c r="V277" s="14"/>
      <c r="W277" s="14"/>
      <c r="X277" s="14"/>
      <c r="Y277" s="14"/>
      <c r="Z277" s="14"/>
      <c r="AA277" s="14"/>
      <c r="AB277" s="14"/>
      <c r="AC277" s="14"/>
      <c r="AD277" s="14"/>
      <c r="AE277" s="14"/>
      <c r="AF277" s="14"/>
      <c r="AG277" s="14"/>
      <c r="AH277" s="14"/>
    </row>
    <row r="278" spans="1:34" x14ac:dyDescent="0.25">
      <c r="A278" s="1324"/>
      <c r="B278" s="1326">
        <f t="shared" si="30"/>
        <v>163</v>
      </c>
      <c r="C278" s="1803" t="str">
        <f>INDEX(months12,6)&amp;IFERROR(IF(DATEVALUE("1 "&amp;INDEX(months12,6)&amp;" "&amp;E$202)&lt;=DATEVALUE("1 "&amp;D$202&amp;" "&amp;E$202)," "&amp;E$202," "&amp;E$202-1),"")</f>
        <v>июнь 2018</v>
      </c>
      <c r="D278" s="1313">
        <f>IFERROR(Климатология!BC2,"")</f>
        <v>15.8</v>
      </c>
      <c r="E278" s="1338"/>
      <c r="F278" s="1415">
        <f>IFERROR(Климатология!BF2,"")</f>
        <v>0</v>
      </c>
      <c r="G278" s="1876">
        <f ca="1">IFERROR((списки!$C$56-IF(I278&lt;0.5*J278,8,E278))*I278,"")</f>
        <v>0</v>
      </c>
      <c r="H278" s="1315">
        <f t="shared" ca="1" si="27"/>
        <v>0</v>
      </c>
      <c r="I278" s="1874">
        <f t="shared" ca="1" si="26"/>
        <v>0</v>
      </c>
      <c r="J278" s="1313">
        <v>30</v>
      </c>
      <c r="K278" s="1316" t="str">
        <f t="shared" si="28"/>
        <v/>
      </c>
      <c r="L278" s="1268">
        <f t="shared" ca="1" si="29"/>
        <v>0</v>
      </c>
      <c r="M278" s="1896">
        <f ca="1">(списки!C$60*N(I278)+списки!C$61*(J278-N(I278)))/J278</f>
        <v>15</v>
      </c>
      <c r="N278" s="14"/>
      <c r="O278" s="14"/>
      <c r="P278" s="1893"/>
      <c r="Q278" s="14"/>
      <c r="R278" s="14"/>
      <c r="S278" s="14"/>
      <c r="T278" s="14"/>
      <c r="U278" s="14"/>
      <c r="V278" s="14"/>
      <c r="W278" s="14"/>
      <c r="X278" s="14"/>
      <c r="Y278" s="14"/>
      <c r="Z278" s="14"/>
      <c r="AA278" s="14"/>
      <c r="AB278" s="14"/>
      <c r="AC278" s="14"/>
      <c r="AD278" s="14"/>
      <c r="AE278" s="14"/>
      <c r="AF278" s="14"/>
      <c r="AG278" s="14"/>
      <c r="AH278" s="14"/>
    </row>
    <row r="279" spans="1:34" x14ac:dyDescent="0.25">
      <c r="A279" s="1324"/>
      <c r="B279" s="1326">
        <f t="shared" si="30"/>
        <v>164</v>
      </c>
      <c r="C279" s="1803" t="str">
        <f>INDEX(months12,7)&amp;IFERROR(IF(DATEVALUE("1 "&amp;INDEX(months12,7)&amp;" "&amp;E$202)&lt;=DATEVALUE("1 "&amp;D$202&amp;" "&amp;E$202)," "&amp;E$202," "&amp;E$202-1),"")</f>
        <v>июль 2018</v>
      </c>
      <c r="D279" s="1313">
        <f>IFERROR(Климатология!K2,"")</f>
        <v>18.2</v>
      </c>
      <c r="E279" s="1338"/>
      <c r="F279" s="1415">
        <f>IFERROR(Климатология!N2,"")</f>
        <v>0</v>
      </c>
      <c r="G279" s="1876">
        <f ca="1">IFERROR((списки!$C$56-IF(I279&lt;0.5*J279,8,E279))*I279,"")</f>
        <v>0</v>
      </c>
      <c r="H279" s="1315">
        <f t="shared" ca="1" si="27"/>
        <v>0</v>
      </c>
      <c r="I279" s="1874">
        <f t="shared" ca="1" si="26"/>
        <v>0</v>
      </c>
      <c r="J279" s="1313">
        <v>31</v>
      </c>
      <c r="K279" s="1316" t="str">
        <f>IF(ISBLANK(E279),"",IF(I279&lt;0.5*J279,8,E279)*I279)</f>
        <v/>
      </c>
      <c r="L279" s="1268">
        <f t="shared" ca="1" si="29"/>
        <v>0</v>
      </c>
      <c r="M279" s="1896">
        <f ca="1">(списки!C$60*N(I279)+списки!C$61*(J279-N(I279)))/J279</f>
        <v>15</v>
      </c>
      <c r="N279" s="14"/>
      <c r="O279" s="14"/>
      <c r="P279" s="1893"/>
      <c r="Q279" s="14"/>
      <c r="R279" s="14"/>
      <c r="S279" s="14"/>
      <c r="T279" s="14"/>
      <c r="U279" s="14"/>
      <c r="V279" s="14"/>
      <c r="W279" s="14"/>
      <c r="X279" s="14"/>
      <c r="Y279" s="14"/>
      <c r="Z279" s="14"/>
      <c r="AA279" s="14"/>
      <c r="AB279" s="14"/>
      <c r="AC279" s="14"/>
      <c r="AD279" s="14"/>
      <c r="AE279" s="14"/>
      <c r="AF279" s="14"/>
      <c r="AG279" s="14"/>
      <c r="AH279" s="14"/>
    </row>
    <row r="280" spans="1:34" x14ac:dyDescent="0.25">
      <c r="A280" s="1324"/>
      <c r="B280" s="1326">
        <f t="shared" si="30"/>
        <v>165</v>
      </c>
      <c r="C280" s="1803" t="str">
        <f>INDEX(months12,8)&amp;IFERROR(IF(DATEVALUE("1 "&amp;INDEX(months12,8)&amp;" "&amp;E$202)&lt;=DATEVALUE("1 "&amp;D$202&amp;" "&amp;E$202)," "&amp;E$202," "&amp;E$202-1),"")</f>
        <v>август 2018</v>
      </c>
      <c r="D280" s="1313">
        <f>IFERROR(Климатология!O2,"")</f>
        <v>15.1</v>
      </c>
      <c r="E280" s="1338"/>
      <c r="F280" s="1415">
        <f>IFERROR(Климатология!R2,"")</f>
        <v>0</v>
      </c>
      <c r="G280" s="1876">
        <f ca="1">IFERROR((списки!$C$56-IF(I280&lt;0.5*J280,8,E280))*I280,"")</f>
        <v>0</v>
      </c>
      <c r="H280" s="1315">
        <f t="shared" ca="1" si="27"/>
        <v>0</v>
      </c>
      <c r="I280" s="1874">
        <f t="shared" ca="1" si="26"/>
        <v>0</v>
      </c>
      <c r="J280" s="1313">
        <v>31</v>
      </c>
      <c r="K280" s="1316" t="str">
        <f t="shared" ref="K280:K284" si="31">IF(ISBLANK(E280),"",IF(I280&lt;0.5*J280,8,E280)*I280)</f>
        <v/>
      </c>
      <c r="L280" s="1268">
        <f t="shared" ca="1" si="29"/>
        <v>0</v>
      </c>
      <c r="M280" s="1896">
        <f ca="1">(списки!C$60*N(I280)+списки!C$61*(J280-N(I280)))/J280</f>
        <v>15</v>
      </c>
      <c r="N280" s="14"/>
      <c r="O280" s="14"/>
      <c r="P280" s="1893"/>
      <c r="Q280" s="14"/>
      <c r="R280" s="14"/>
      <c r="S280" s="14"/>
      <c r="T280" s="14"/>
      <c r="U280" s="14"/>
      <c r="V280" s="14"/>
      <c r="W280" s="14"/>
      <c r="X280" s="14"/>
      <c r="Y280" s="14"/>
      <c r="Z280" s="14"/>
      <c r="AA280" s="14"/>
      <c r="AB280" s="14"/>
      <c r="AC280" s="14"/>
      <c r="AD280" s="14"/>
      <c r="AE280" s="14"/>
      <c r="AF280" s="14"/>
      <c r="AG280" s="14"/>
      <c r="AH280" s="14"/>
    </row>
    <row r="281" spans="1:34" x14ac:dyDescent="0.25">
      <c r="A281" s="1324"/>
      <c r="B281" s="1326">
        <f t="shared" si="30"/>
        <v>166</v>
      </c>
      <c r="C281" s="1803" t="str">
        <f>INDEX(months12,9)&amp;IFERROR(IF(DATEVALUE("1 "&amp;INDEX(months12,9)&amp;" "&amp;E$202)&lt;=DATEVALUE("1 "&amp;D$202&amp;" "&amp;E$202)," "&amp;E$202," "&amp;E$202-1),"")</f>
        <v>сентябрь 2017</v>
      </c>
      <c r="D281" s="1313">
        <f>IFERROR(Климатология!S2,"")</f>
        <v>9.5</v>
      </c>
      <c r="E281" s="1338">
        <v>6.6</v>
      </c>
      <c r="F281" s="1415">
        <f>IFERROR(Климатология!V2,"")</f>
        <v>68.25</v>
      </c>
      <c r="G281" s="1876">
        <f ca="1">IFERROR((списки!$C$56-IF(I281&lt;0.5*J281,8,E281))*I281,"")</f>
        <v>144</v>
      </c>
      <c r="H281" s="1315">
        <f t="shared" ca="1" si="27"/>
        <v>0.47395833333333331</v>
      </c>
      <c r="I281" s="1874">
        <f t="shared" ca="1" si="26"/>
        <v>12</v>
      </c>
      <c r="J281" s="1313">
        <v>30</v>
      </c>
      <c r="K281" s="1316">
        <f t="shared" ca="1" si="31"/>
        <v>96</v>
      </c>
      <c r="L281" s="1268">
        <f t="shared" ca="1" si="29"/>
        <v>0</v>
      </c>
      <c r="M281" s="1896">
        <f ca="1">(списки!C$60*N(I281)+списки!C$61*(J281-N(I281)))/J281</f>
        <v>11</v>
      </c>
      <c r="N281" s="14"/>
      <c r="O281" s="14"/>
      <c r="P281" s="1893"/>
      <c r="Q281" s="14"/>
      <c r="R281" s="14"/>
      <c r="S281" s="14"/>
      <c r="T281" s="14"/>
      <c r="U281" s="14"/>
      <c r="V281" s="14"/>
      <c r="W281" s="14"/>
      <c r="X281" s="14"/>
      <c r="Y281" s="14"/>
      <c r="Z281" s="14"/>
      <c r="AA281" s="14"/>
      <c r="AB281" s="14"/>
      <c r="AC281" s="14"/>
      <c r="AD281" s="14"/>
      <c r="AE281" s="14"/>
      <c r="AF281" s="14"/>
      <c r="AG281" s="14"/>
      <c r="AH281" s="14"/>
    </row>
    <row r="282" spans="1:34" x14ac:dyDescent="0.25">
      <c r="A282" s="1324"/>
      <c r="B282" s="1326">
        <f t="shared" si="30"/>
        <v>167</v>
      </c>
      <c r="C282" s="1803" t="str">
        <f>INDEX(months12,10)&amp;IFERROR(IF(DATEVALUE("1 "&amp;INDEX(months12,10)&amp;" "&amp;E$202)&lt;=DATEVALUE("1 "&amp;D$202&amp;" "&amp;E$202)," "&amp;E$202," "&amp;E$202-1),"")</f>
        <v>октябрь 2017</v>
      </c>
      <c r="D282" s="1313">
        <f>IFERROR(Климатология!W2,"")</f>
        <v>2.2999999999999998</v>
      </c>
      <c r="E282" s="1338">
        <v>2.9</v>
      </c>
      <c r="F282" s="1415">
        <f>IFERROR(Климатология!Z2,"")</f>
        <v>548.69999999999993</v>
      </c>
      <c r="G282" s="1876">
        <f ca="1">IFERROR((списки!$C$56-IF(I282&lt;0.5*J282,8,E282))*I282,"")</f>
        <v>530.1</v>
      </c>
      <c r="H282" s="1315">
        <f t="shared" ca="1" si="27"/>
        <v>1.0350877192982455</v>
      </c>
      <c r="I282" s="1874">
        <f t="shared" ca="1" si="26"/>
        <v>31</v>
      </c>
      <c r="J282" s="1313">
        <v>31</v>
      </c>
      <c r="K282" s="1316">
        <f t="shared" ca="1" si="31"/>
        <v>89.899999999999991</v>
      </c>
      <c r="L282" s="1268">
        <f t="shared" ca="1" si="29"/>
        <v>0</v>
      </c>
      <c r="M282" s="1896">
        <f ca="1">(списки!C$60*N(I282)+списки!C$61*(J282-N(I282)))/J282</f>
        <v>5</v>
      </c>
      <c r="N282" s="14"/>
      <c r="O282" s="14"/>
      <c r="P282" s="1893"/>
      <c r="Q282" s="14"/>
      <c r="R282" s="14"/>
      <c r="S282" s="14"/>
      <c r="T282" s="14"/>
      <c r="U282" s="14"/>
      <c r="V282" s="14"/>
      <c r="W282" s="14"/>
      <c r="X282" s="14"/>
      <c r="Y282" s="14"/>
      <c r="Z282" s="14"/>
      <c r="AA282" s="14"/>
      <c r="AB282" s="14"/>
      <c r="AC282" s="14"/>
      <c r="AD282" s="14"/>
      <c r="AE282" s="14"/>
      <c r="AF282" s="14"/>
      <c r="AG282" s="14"/>
      <c r="AH282" s="14"/>
    </row>
    <row r="283" spans="1:34" x14ac:dyDescent="0.25">
      <c r="A283" s="1324"/>
      <c r="B283" s="1326">
        <f t="shared" si="30"/>
        <v>168</v>
      </c>
      <c r="C283" s="1803" t="str">
        <f>INDEX(months12,11)&amp;IFERROR(IF(DATEVALUE("1 "&amp;INDEX(months12,11)&amp;" "&amp;E$202)&lt;=DATEVALUE("1 "&amp;D$202&amp;" "&amp;E$202)," "&amp;E$202," "&amp;E$202-1),"")</f>
        <v>ноябрь 2017</v>
      </c>
      <c r="D283" s="1313">
        <f>IFERROR(Климатология!AA2,"")</f>
        <v>-5.6</v>
      </c>
      <c r="E283" s="1338">
        <v>-1.3</v>
      </c>
      <c r="F283" s="1416">
        <f>IFERROR(Климатология!AD2,"")</f>
        <v>768</v>
      </c>
      <c r="G283" s="1876">
        <f ca="1">IFERROR((списки!$C$56-IF(I283&lt;0.5*J283,8,E283))*I283,"")</f>
        <v>639</v>
      </c>
      <c r="H283" s="1315">
        <f t="shared" ca="1" si="27"/>
        <v>1.2018779342723005</v>
      </c>
      <c r="I283" s="1874">
        <f t="shared" ca="1" si="26"/>
        <v>30</v>
      </c>
      <c r="J283" s="1313">
        <v>30</v>
      </c>
      <c r="K283" s="1316">
        <f t="shared" ca="1" si="31"/>
        <v>-39</v>
      </c>
      <c r="L283" s="1268">
        <f t="shared" ca="1" si="29"/>
        <v>0</v>
      </c>
      <c r="M283" s="1896">
        <f ca="1">(списки!C$60*N(I283)+списки!C$61*(J283-N(I283)))/J283</f>
        <v>5</v>
      </c>
      <c r="N283" s="14"/>
      <c r="O283" s="14"/>
      <c r="P283" s="1893"/>
      <c r="Q283" s="14"/>
      <c r="R283" s="14"/>
      <c r="S283" s="14"/>
      <c r="T283" s="14"/>
      <c r="U283" s="14"/>
      <c r="V283" s="14"/>
      <c r="W283" s="14"/>
      <c r="X283" s="14"/>
      <c r="Y283" s="14"/>
      <c r="Z283" s="14"/>
      <c r="AA283" s="14"/>
      <c r="AB283" s="14"/>
      <c r="AC283" s="14"/>
      <c r="AD283" s="14"/>
      <c r="AE283" s="14"/>
      <c r="AF283" s="14"/>
      <c r="AG283" s="14"/>
      <c r="AH283" s="14"/>
    </row>
    <row r="284" spans="1:34" x14ac:dyDescent="0.25">
      <c r="A284" s="1324"/>
      <c r="B284" s="1326">
        <f t="shared" si="30"/>
        <v>169</v>
      </c>
      <c r="C284" s="1804" t="str">
        <f>INDEX(months12,12)&amp;IFERROR(IF(DATEVALUE("1 "&amp;INDEX(months12,12)&amp;" "&amp;E$202)&lt;=DATEVALUE("1 "&amp;D$202&amp;" "&amp;E$202)," "&amp;E$202," "&amp;E$202-1),"")</f>
        <v>декабрь 2017</v>
      </c>
      <c r="D284" s="1879">
        <f>IFERROR(Климатология!AE2,"")</f>
        <v>-11.3</v>
      </c>
      <c r="E284" s="1880">
        <v>-7.4</v>
      </c>
      <c r="F284" s="1881">
        <f>IFERROR(Климатология!AH2,"")</f>
        <v>970.30000000000007</v>
      </c>
      <c r="G284" s="1876">
        <f ca="1">IFERROR((списки!$C$56-IF(I284&lt;0.5*J284,8,E284))*I284,"")</f>
        <v>849.4</v>
      </c>
      <c r="H284" s="1882">
        <f t="shared" ca="1" si="27"/>
        <v>1.1423357664233578</v>
      </c>
      <c r="I284" s="1874">
        <f t="shared" ca="1" si="26"/>
        <v>31</v>
      </c>
      <c r="J284" s="1879">
        <v>31</v>
      </c>
      <c r="K284" s="1883">
        <f t="shared" ca="1" si="31"/>
        <v>-229.4</v>
      </c>
      <c r="L284" s="1268">
        <f t="shared" ca="1" si="29"/>
        <v>0</v>
      </c>
      <c r="M284" s="1896">
        <f ca="1">(списки!C$60*N(I284)+списки!C$61*(J284-N(I284)))/J284</f>
        <v>5</v>
      </c>
      <c r="N284" s="14"/>
      <c r="O284" s="14"/>
      <c r="P284" s="1893"/>
      <c r="Q284" s="14"/>
      <c r="R284" s="14"/>
      <c r="S284" s="14"/>
      <c r="T284" s="14"/>
      <c r="U284" s="14"/>
      <c r="V284" s="14"/>
      <c r="W284" s="14"/>
      <c r="X284" s="14"/>
      <c r="Y284" s="14"/>
      <c r="Z284" s="14"/>
      <c r="AA284" s="14"/>
      <c r="AB284" s="14"/>
      <c r="AC284" s="14"/>
      <c r="AD284" s="14"/>
      <c r="AE284" s="14"/>
      <c r="AF284" s="14"/>
      <c r="AG284" s="14"/>
      <c r="AH284" s="14"/>
    </row>
    <row r="285" spans="1:34" x14ac:dyDescent="0.25">
      <c r="A285" s="1324"/>
      <c r="B285" s="1324"/>
      <c r="C285" s="1807" t="s">
        <v>1263</v>
      </c>
      <c r="D285" s="1314">
        <f>IFERROR(Климатология!F2,"")</f>
        <v>-5.5</v>
      </c>
      <c r="E285" s="1849">
        <f ca="1">K285</f>
        <v>-3.6151898734177212</v>
      </c>
      <c r="F285" s="1417">
        <f>IFERROR(Климатология!I2,"")</f>
        <v>5737.5</v>
      </c>
      <c r="G285" s="1418">
        <f ca="1">IF(OR(E285="",D209=0),"",(списки!$C$56-N(E285))*D209)</f>
        <v>5596.7999999999993</v>
      </c>
      <c r="H285" s="1318">
        <f ca="1">IFERROR(IF(G285=0,0,F285/G285),0)</f>
        <v>1.0251393653516296</v>
      </c>
      <c r="I285" s="1317"/>
      <c r="J285" s="1317"/>
      <c r="K285" s="1319">
        <f ca="1">IF(D209&lt;&gt;0,IF(COUNTIF(K273:K284,"")=12,"",SUM(K273:K284)/D209),"")</f>
        <v>-3.6151898734177212</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4"/>
      <c r="B286" s="132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4"/>
      <c r="B287" s="1324"/>
      <c r="C287" s="2095" t="s">
        <v>2406</v>
      </c>
      <c r="D287" s="2095"/>
      <c r="E287" s="2095"/>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4"/>
      <c r="B288" s="1324"/>
      <c r="C288" s="2049" t="s">
        <v>2454</v>
      </c>
      <c r="D288" s="1796" t="s">
        <v>1683</v>
      </c>
      <c r="E288" s="1796" t="s">
        <v>1684</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4"/>
      <c r="B289" s="1324"/>
      <c r="C289" s="2049"/>
      <c r="D289" s="1797" t="s">
        <v>1975</v>
      </c>
      <c r="E289" s="1797" t="s">
        <v>1976</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4"/>
      <c r="B290" s="1326">
        <f>B284+1</f>
        <v>170</v>
      </c>
      <c r="C290" s="1802" t="str">
        <f>INDEX(months12,1)&amp;IFERROR(IF(DATEVALUE("1 "&amp;INDEX(months12,1)&amp;" "&amp;E$202)&lt;=DATEVALUE("1 "&amp;D$202&amp;" "&amp;E$202)," "&amp;E$202," "&amp;E$202-1),"")</f>
        <v>январь 2018</v>
      </c>
      <c r="D290" s="1884">
        <v>1799.1</v>
      </c>
      <c r="E290" s="1884">
        <v>3.77</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4"/>
      <c r="B291" s="1326">
        <f>B290+1</f>
        <v>171</v>
      </c>
      <c r="C291" s="1803" t="str">
        <f>INDEX(months12,2)&amp;IFERROR(IF(DATEVALUE("1 "&amp;INDEX(months12,2)&amp;" "&amp;E$202)&lt;=DATEVALUE("1 "&amp;D$202&amp;" "&amp;E$202)," "&amp;E$202," "&amp;E$202-1),"")</f>
        <v>февраль 2018</v>
      </c>
      <c r="D291" s="1850">
        <v>1799.1</v>
      </c>
      <c r="E291" s="1850">
        <v>3.77</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4"/>
      <c r="B292" s="1326">
        <f t="shared" ref="B292:B301" si="32">B291+1</f>
        <v>172</v>
      </c>
      <c r="C292" s="1803" t="str">
        <f>INDEX(months12,3)&amp;IFERROR(IF(DATEVALUE("1 "&amp;INDEX(months12,3)&amp;" "&amp;E$202)&lt;=DATEVALUE("1 "&amp;D$202&amp;" "&amp;E$202)," "&amp;E$202," "&amp;E$202-1),"")</f>
        <v>март 2018</v>
      </c>
      <c r="D292" s="1850">
        <v>1799.1</v>
      </c>
      <c r="E292" s="1850">
        <v>3.77</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4"/>
      <c r="B293" s="1326">
        <f t="shared" si="32"/>
        <v>173</v>
      </c>
      <c r="C293" s="1803" t="str">
        <f>INDEX(months12,4)&amp;IFERROR(IF(DATEVALUE("1 "&amp;INDEX(months12,4)&amp;" "&amp;E$202)&lt;=DATEVALUE("1 "&amp;D$202&amp;" "&amp;E$202)," "&amp;E$202," "&amp;E$202-1),"")</f>
        <v>апрель 2018</v>
      </c>
      <c r="D293" s="1850">
        <v>1799.1</v>
      </c>
      <c r="E293" s="1850">
        <v>3.77</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4"/>
      <c r="B294" s="1326">
        <f t="shared" si="32"/>
        <v>174</v>
      </c>
      <c r="C294" s="1803" t="str">
        <f>INDEX(months12,5)&amp;IFERROR(IF(DATEVALUE("1 "&amp;INDEX(months12,5)&amp;" "&amp;E$202)&lt;=DATEVALUE("1 "&amp;D$202&amp;" "&amp;E$202)," "&amp;E$202," "&amp;E$202-1),"")</f>
        <v>май 2018</v>
      </c>
      <c r="D294" s="1850">
        <v>1799.1</v>
      </c>
      <c r="E294" s="1850">
        <v>3.77</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4"/>
      <c r="B295" s="1326">
        <f t="shared" si="32"/>
        <v>175</v>
      </c>
      <c r="C295" s="1803" t="str">
        <f>INDEX(months12,6)&amp;IFERROR(IF(DATEVALUE("1 "&amp;INDEX(months12,6)&amp;" "&amp;E$202)&lt;=DATEVALUE("1 "&amp;D$202&amp;" "&amp;E$202)," "&amp;E$202," "&amp;E$202-1),"")</f>
        <v>июнь 2018</v>
      </c>
      <c r="D295" s="1850">
        <v>1799.1</v>
      </c>
      <c r="E295" s="1850">
        <v>3.77</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4"/>
      <c r="B296" s="1326">
        <f t="shared" si="32"/>
        <v>176</v>
      </c>
      <c r="C296" s="1803" t="str">
        <f>INDEX(months12,7)&amp;IFERROR(IF(DATEVALUE("1 "&amp;INDEX(months12,7)&amp;" "&amp;E$202)&lt;=DATEVALUE("1 "&amp;D$202&amp;" "&amp;E$202)," "&amp;E$202," "&amp;E$202-1),"")</f>
        <v>июль 2018</v>
      </c>
      <c r="D296" s="1850">
        <v>1860.27</v>
      </c>
      <c r="E296" s="1850">
        <v>3.92</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4"/>
      <c r="B297" s="1326">
        <f t="shared" si="32"/>
        <v>177</v>
      </c>
      <c r="C297" s="1803" t="str">
        <f>INDEX(months12,8)&amp;IFERROR(IF(DATEVALUE("1 "&amp;INDEX(months12,8)&amp;" "&amp;E$202)&lt;=DATEVALUE("1 "&amp;D$202&amp;" "&amp;E$202)," "&amp;E$202," "&amp;E$202-1),"")</f>
        <v>август 2018</v>
      </c>
      <c r="D297" s="1850">
        <v>1860.27</v>
      </c>
      <c r="E297" s="1850">
        <v>3.92</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4"/>
      <c r="B298" s="1326">
        <f t="shared" si="32"/>
        <v>178</v>
      </c>
      <c r="C298" s="1803" t="str">
        <f>INDEX(months12,9)&amp;IFERROR(IF(DATEVALUE("1 "&amp;INDEX(months12,9)&amp;" "&amp;E$202)&lt;=DATEVALUE("1 "&amp;D$202&amp;" "&amp;E$202)," "&amp;E$202," "&amp;E$202-1),"")</f>
        <v>сентябрь 2017</v>
      </c>
      <c r="D298" s="1850">
        <v>1820.8</v>
      </c>
      <c r="E298" s="1850">
        <v>3.77</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4"/>
      <c r="B299" s="1326">
        <f t="shared" si="32"/>
        <v>179</v>
      </c>
      <c r="C299" s="1803" t="str">
        <f>INDEX(months12,10)&amp;IFERROR(IF(DATEVALUE("1 "&amp;INDEX(months12,10)&amp;" "&amp;E$202)&lt;=DATEVALUE("1 "&amp;D$202&amp;" "&amp;E$202)," "&amp;E$202," "&amp;E$202-1),"")</f>
        <v>октябрь 2017</v>
      </c>
      <c r="D299" s="1850">
        <v>1820.8</v>
      </c>
      <c r="E299" s="1850">
        <v>3.77</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4"/>
      <c r="B300" s="1326">
        <f t="shared" si="32"/>
        <v>180</v>
      </c>
      <c r="C300" s="1803" t="str">
        <f>INDEX(months12,11)&amp;IFERROR(IF(DATEVALUE("1 "&amp;INDEX(months12,11)&amp;" "&amp;E$202)&lt;=DATEVALUE("1 "&amp;D$202&amp;" "&amp;E$202)," "&amp;E$202," "&amp;E$202-1),"")</f>
        <v>ноябрь 2017</v>
      </c>
      <c r="D300" s="1850">
        <v>1820.8</v>
      </c>
      <c r="E300" s="1850">
        <v>3.77</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4"/>
      <c r="B301" s="1326">
        <f t="shared" si="32"/>
        <v>181</v>
      </c>
      <c r="C301" s="1804" t="str">
        <f>INDEX(months12,12)&amp;IFERROR(IF(DATEVALUE("1 "&amp;INDEX(months12,12)&amp;" "&amp;E$202)&lt;=DATEVALUE("1 "&amp;D$202&amp;" "&amp;E$202)," "&amp;E$202," "&amp;E$202-1),"")</f>
        <v>декабрь 2017</v>
      </c>
      <c r="D301" s="1885">
        <v>1820.8</v>
      </c>
      <c r="E301" s="1885">
        <v>3.77</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4"/>
      <c r="B302" s="1324"/>
      <c r="C302" s="1807" t="s">
        <v>2463</v>
      </c>
      <c r="D302" s="1851">
        <f>IFERROR(ROUND(SUMPRODUCT(D290:D301,D217:D228)/(IF(D290&gt;0,D217,0)+IF(D291&gt;0,D218,0)+IF(D292&gt;0,D219,0)+IF(D293&gt;0,D220,0)+IF(D294&gt;0,D221,0)+IF(D295&gt;0,D222,0)+IF(D296&gt;0,D223,0)+IF(D297&gt;0,D224,0)+IF(D298&gt;0,D225,0)+IF(D299&gt;0,D226,0)+IF(D300&gt;0,D227,0)+IF(D301&gt;0,D228,0)),2),"-")</f>
        <v>1809.85</v>
      </c>
      <c r="E302" s="1851">
        <f>IFERROR(ROUND(SUMPRODUCT(E290:E301,F253:F264)/(IF(E290&gt;0,F253,0)+IF(E291&gt;0,F254,0)+IF(E292&gt;0,F255,0)+IF(E293&gt;0,F256,0)+IF(E294&gt;0,F257,0)+IF(E295&gt;0,F258,0)+IF(E296&gt;0,F259,0)+IF(E297&gt;0,F260,0)+IF(E298&gt;0,F261,0)+IF(E299&gt;0,F262,0)+IF(E300&gt;0,F263,0)+IF(E301&gt;0,F264,0)),2),"-")</f>
        <v>3.79</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4"/>
      <c r="B303" s="1324"/>
      <c r="C303" s="14"/>
      <c r="D303" s="2062"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0" t="s">
        <v>1974</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4"/>
      <c r="B304" s="1324"/>
      <c r="C304" s="19"/>
      <c r="D304" s="2063"/>
      <c r="E304" s="1785"/>
      <c r="F304" s="1848">
        <f>IFERROR(ROUND(SUMPRODUCT(D290:D301,D217:D228)/(IF(D290&gt;0,D217,0)+IF(D291&gt;0,D218,0)+IF(D292&gt;0,D219,0)+IF(D293&gt;0,D220,0)+IF(D294&gt;0,D221,0)+IF(D295&gt;0,D222,0)+IF(D296&gt;0,D223,0)+IF(D297&gt;0,D224,0)+IF(D298&gt;0,D225,0)+IF(D299&gt;0,D226,0)+IF(D300&gt;0,D227,0)+IF(D301&gt;0,D228,0)),2),"-")</f>
        <v>1809.85</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4"/>
      <c r="B305" s="1324"/>
      <c r="C305" s="19"/>
      <c r="D305" s="2063"/>
      <c r="E305" s="1785"/>
      <c r="F305" s="1848">
        <f>IFERROR(ROUND(SUMPRODUCT(E290:E301,F253:F264)/(IF(E290&gt;0,F253,0)+IF(E291&gt;0,F254,0)+IF(E292&gt;0,F255,0)+IF(E293&gt;0,F256,0)+IF(E294&gt;0,F257,0)+IF(E295&gt;0,F258,0)+IF(E296&gt;0,F259,0)+IF(E297&gt;0,F260,0)+IF(E298&gt;0,F261,0)+IF(E299&gt;0,F262,0)+IF(E300&gt;0,F263,0)+IF(E301&gt;0,F264,0)),2),"-")</f>
        <v>3.79</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4"/>
      <c r="B306" s="1324"/>
      <c r="C306" s="14"/>
      <c r="D306" s="14"/>
      <c r="E306" s="1785"/>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4"/>
      <c r="B307" s="1324"/>
      <c r="C307" s="2048" t="s">
        <v>1559</v>
      </c>
      <c r="D307" s="2048"/>
      <c r="E307" s="2048"/>
      <c r="F307" s="2048"/>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4"/>
      <c r="B308" s="1324"/>
      <c r="C308" s="1626" t="s">
        <v>2147</v>
      </c>
      <c r="D308" s="1626" t="s">
        <v>2148</v>
      </c>
      <c r="E308" s="1627" t="s">
        <v>2149</v>
      </c>
      <c r="F308" s="1626" t="s">
        <v>1687</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4"/>
      <c r="B309" s="1324"/>
      <c r="C309" s="1269">
        <v>1</v>
      </c>
      <c r="D309" s="1625" t="s">
        <v>1558</v>
      </c>
      <c r="E309" s="1565" t="str">
        <f>IF(D14="Пожалуйста, выберите","Выберите серию или вариант - нет в списке","")</f>
        <v/>
      </c>
      <c r="F309" s="1321"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4"/>
      <c r="B310" s="1324"/>
      <c r="C310" s="1269">
        <v>2</v>
      </c>
      <c r="D310" s="1624" t="s">
        <v>1561</v>
      </c>
      <c r="E310" s="1565" t="str">
        <f>IF(OR(D17="",D19="",D20="",D22="",D12="",D10="",D11="",F16&lt;&gt;""),"Неполный ввод общей информации","")</f>
        <v/>
      </c>
      <c r="F310" s="1321"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4"/>
      <c r="B311" s="1324"/>
      <c r="C311" s="1269">
        <v>3</v>
      </c>
      <c r="D311" s="1624" t="s">
        <v>1555</v>
      </c>
      <c r="E311" s="1565" t="str">
        <f>IF(OR(AND(D42=INDEX(SposobRascheta,3),D52="Введено верно"),AND(D42=INDEX(SposobRascheta,2),E78="Введено верно")),"","Ошибки во вводе объемно-планировочных характеристик")</f>
        <v/>
      </c>
      <c r="F311" s="1321"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4"/>
      <c r="B312" s="1324"/>
      <c r="C312" s="1269">
        <v>4</v>
      </c>
      <c r="D312" s="1624" t="s">
        <v>1563</v>
      </c>
      <c r="E312" s="1565" t="str">
        <f>IF(D199="","","Введите температурный график (поля 116-117)")</f>
        <v/>
      </c>
      <c r="F312" s="1321"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4"/>
      <c r="B313" s="1324"/>
      <c r="C313" s="1269">
        <v>5</v>
      </c>
      <c r="D313" s="1624" t="s">
        <v>1554</v>
      </c>
      <c r="E313" s="1565"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1"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4"/>
      <c r="B314" s="1324"/>
      <c r="C314" s="1269">
        <v>6</v>
      </c>
      <c r="D314" s="1624" t="s">
        <v>1686</v>
      </c>
      <c r="E314" s="1565" t="str">
        <f>IF(AND('Система ГВС'!F3=1,'Система ГВС'!F17=1,OR('Ввод исходных данных'!E248=0,'Ввод исходных данных'!E248=""),OR(G142=0,G142="")),
              "Вы отметили наличие циркуляционного трубопровода ГВС в ячейке 81, но не ввели циркуляционный расход по месяцам","")</f>
        <v/>
      </c>
      <c r="F314" s="1321"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4"/>
      <c r="B315" s="1324"/>
      <c r="C315" s="1269">
        <v>7</v>
      </c>
      <c r="D315" s="1624" t="s">
        <v>1556</v>
      </c>
      <c r="E315" s="1565"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1"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4"/>
      <c r="B316" s="1324"/>
      <c r="C316" s="1269">
        <v>8</v>
      </c>
      <c r="D316" s="1624" t="s">
        <v>1568</v>
      </c>
      <c r="E316" s="1565" t="str">
        <f>IF(OR(F253=0,F254=0,F255=0,F256=0,F257=0,F258=0,F259=0,F260=0,F261=0,F262=0,F263=0,F264=0,F265=0),"Неполный ввод потребления электроэнергии на ОДН!","")</f>
        <v/>
      </c>
      <c r="F316" s="1321"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4"/>
      <c r="B317" s="1324"/>
      <c r="C317" s="1340">
        <v>9</v>
      </c>
      <c r="D317" s="1624" t="s">
        <v>1767</v>
      </c>
      <c r="E317" s="1565" t="str">
        <f>IF(SUM(D179,D175,D171,D167,D161,F151:F156)=0,"Введите мощность приборов освещения и/или насосов, лифтов","")</f>
        <v/>
      </c>
      <c r="F317" s="1321"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4"/>
      <c r="B318" s="1324"/>
      <c r="C318" s="1341">
        <v>10</v>
      </c>
      <c r="D318" s="1624" t="s">
        <v>1771</v>
      </c>
      <c r="E318" s="1565" t="str">
        <f>IFERROR(MID(F269,1,SEARCH("!",F269)),"")</f>
        <v/>
      </c>
      <c r="F318" s="1321"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4"/>
      <c r="B319" s="1324"/>
      <c r="C319" s="1340">
        <v>11</v>
      </c>
      <c r="D319" s="1624" t="s">
        <v>1557</v>
      </c>
      <c r="E319" s="1565" t="str">
        <f>IF(N("ЕСЛИ(И(C78= ;F23= ;F24= ) _ МКД не подходит для программы из-за доли нежилых помещений и отсутствия в них ИПУ электроэнергии")=0,"","")</f>
        <v/>
      </c>
      <c r="F319" s="1321"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4"/>
      <c r="B320" s="1324"/>
      <c r="C320" s="1340">
        <v>12</v>
      </c>
      <c r="D320" s="1624" t="s">
        <v>1564</v>
      </c>
      <c r="E320" s="1565" t="str">
        <f ca="1">CONCATENATE(D210,F209,F206,F202,IF(AND(CONCATENATE(D210,F209,F206,F202)="",D209=0),"Заполните даты отопительного периода! ",""))</f>
        <v/>
      </c>
      <c r="F320" s="1321"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4"/>
      <c r="B321" s="1324"/>
      <c r="C321" s="1340">
        <v>13</v>
      </c>
      <c r="D321" s="1624" t="s">
        <v>1562</v>
      </c>
      <c r="E321" s="1565" t="str">
        <f ca="1">IF(OR(AND(I273&gt;0,E273=""),AND(I274&gt;0,E274=""),AND(I275&gt;0,E275=""),AND(I276&gt;0,E276=""),AND(I277&gt;0,E277=""),AND(I278&gt;0,E278=""),AND(I279&gt;0,E279=""),AND(I280&gt;0,E280=""),AND(I281&gt;0,E281=""),AND(I282&gt;0,E282=""),AND(I283&gt;0,E283=""),AND(I284&gt;0,E284=""),E285=""),"Неполный ввод температуры по месяцам!","")</f>
        <v/>
      </c>
      <c r="F321" s="1321"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4"/>
      <c r="B322" s="1324"/>
      <c r="C322" s="1340">
        <v>14</v>
      </c>
      <c r="D322" s="1624" t="s">
        <v>1560</v>
      </c>
      <c r="E322" s="1565" t="str">
        <f>IF(COUNTBLANK(D302:E302)+COUNTIF(D302:E302,"-")&gt;0,"Введите тарифы по всем месяцам","")</f>
        <v/>
      </c>
      <c r="F322" s="1321"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08"/>
      <c r="B323" s="1308"/>
      <c r="C323" s="1634"/>
      <c r="D323" s="1628" t="s">
        <v>1685</v>
      </c>
      <c r="E323" s="1629" t="str">
        <f ca="1">IF(AND(E322="",E310="",E309="",E319="",E315="",E313="",E311="",E317="",E318="",E321="",E314="",E312="",E320="",E316=""),"Ошибок нет","Исправьте ошибки ввода")</f>
        <v>Ошибок нет</v>
      </c>
      <c r="F323" s="1630"/>
      <c r="G323" s="1631"/>
      <c r="H323" s="1631"/>
      <c r="I323" s="1631"/>
      <c r="J323" s="1631"/>
      <c r="K323" s="1631"/>
      <c r="L323" s="1631"/>
      <c r="M323" s="1631"/>
      <c r="N323" s="1631"/>
      <c r="O323" s="1631"/>
      <c r="P323" s="1631"/>
      <c r="Q323" s="1631"/>
      <c r="R323" s="1631"/>
      <c r="S323" s="1631"/>
      <c r="T323" s="1631"/>
      <c r="U323" s="1631"/>
      <c r="V323" s="1631"/>
      <c r="W323" s="1631"/>
      <c r="X323" s="1631"/>
      <c r="Y323" s="1631"/>
      <c r="Z323" s="1631"/>
      <c r="AA323" s="1631"/>
      <c r="AB323" s="1631"/>
      <c r="AC323" s="1631"/>
      <c r="AD323" s="1631"/>
      <c r="AE323" s="1631"/>
      <c r="AF323" s="1631"/>
      <c r="AG323" s="1631"/>
      <c r="AH323" s="1631"/>
    </row>
    <row r="324" spans="1:34" s="13" customFormat="1" ht="60" customHeight="1" x14ac:dyDescent="0.25">
      <c r="A324" s="1324"/>
      <c r="B324" s="1328">
        <f ca="1">IF(E323="Ошибок нет",1,0)</f>
        <v>1</v>
      </c>
      <c r="C324" s="2091"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2091"/>
      <c r="E324" s="2091"/>
      <c r="F324" s="2091"/>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4"/>
      <c r="B325" s="1324"/>
      <c r="C325" s="2051"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25" s="2051"/>
      <c r="E325" s="2051"/>
      <c r="F325" s="2051"/>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4"/>
      <c r="B326" s="1325" t="str">
        <f ca="1">IF(E323="Ошибок нет","8/8","?/?")</f>
        <v>8/8</v>
      </c>
      <c r="C326" s="2052" t="str">
        <f ca="1">IF(AND(E323="Ошибок нет",C325=""),"ГОТОВО!   Переходите на лист "&amp;CHAR(34)&amp;"Список мероприятий"&amp;CHAR(34),"")</f>
        <v>ГОТОВО!   Переходите на лист "Список мероприятий"</v>
      </c>
      <c r="D326" s="2052"/>
      <c r="E326" s="2052"/>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4"/>
      <c r="B327" s="1324"/>
      <c r="C327" s="637" t="s">
        <v>1816</v>
      </c>
      <c r="D327" s="1360"/>
      <c r="E327" s="1976" t="str">
        <f ca="1">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561,9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4"/>
      <c r="B328" s="1324"/>
      <c r="C328" s="1398" t="s">
        <v>1796</v>
      </c>
      <c r="D328" s="1360"/>
      <c r="E328" s="1977"/>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4"/>
      <c r="B329" s="1324"/>
      <c r="C329" s="1407" t="s">
        <v>1795</v>
      </c>
      <c r="D329" s="50"/>
      <c r="E329" s="1977"/>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4"/>
      <c r="B330" s="1324"/>
      <c r="C330" s="1408" t="s">
        <v>1788</v>
      </c>
      <c r="D330" s="50"/>
      <c r="E330" s="1977"/>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4"/>
      <c r="B331" s="1324"/>
      <c r="C331" s="1400" t="s">
        <v>1789</v>
      </c>
      <c r="D331" s="50"/>
      <c r="E331" s="1977"/>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4"/>
      <c r="B332" s="1324"/>
      <c r="C332" s="1401" t="s">
        <v>1790</v>
      </c>
      <c r="D332" s="50"/>
      <c r="E332" s="1977"/>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4"/>
      <c r="B333" s="1324"/>
      <c r="C333" s="1402" t="s">
        <v>1791</v>
      </c>
      <c r="D333" s="50"/>
      <c r="E333" s="1977"/>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4"/>
      <c r="B334" s="1324"/>
      <c r="C334" s="1403" t="s">
        <v>1792</v>
      </c>
      <c r="D334" s="50"/>
      <c r="E334" s="1977"/>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4"/>
      <c r="B335" s="1324"/>
      <c r="C335" s="1405" t="s">
        <v>1793</v>
      </c>
      <c r="D335" s="50"/>
      <c r="E335" s="1977"/>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4"/>
      <c r="B336" s="1324"/>
      <c r="C336" s="1406" t="s">
        <v>1794</v>
      </c>
      <c r="D336" s="50"/>
      <c r="E336" s="1978"/>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4"/>
      <c r="B337" s="1324"/>
      <c r="C337" s="264" t="s">
        <v>1815</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4"/>
      <c r="B338" s="1324"/>
      <c r="C338" s="2039"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 и потребление теплоэнергии на ГВС; и потребление электроэнергии на ОДН</v>
      </c>
      <c r="D338" s="2039"/>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4"/>
      <c r="B339" s="1324"/>
      <c r="C339" s="1980" t="s">
        <v>1977</v>
      </c>
      <c r="D339" s="1980"/>
      <c r="E339" s="1980"/>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4"/>
      <c r="B340" s="132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4"/>
      <c r="B341" s="132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4"/>
      <c r="B342" s="132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4"/>
      <c r="B343" s="132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4"/>
      <c r="B344" s="132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4"/>
      <c r="B345" s="132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4"/>
      <c r="B346" s="132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4"/>
      <c r="B347" s="132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4"/>
      <c r="B348" s="132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4"/>
      <c r="B349" s="132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4"/>
      <c r="B350" s="132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4"/>
      <c r="B351" s="132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4"/>
      <c r="B352" s="1324"/>
      <c r="C352" s="1324"/>
      <c r="D352" s="1324"/>
      <c r="E352" s="1324"/>
      <c r="F352" s="1324"/>
      <c r="G352" s="1324"/>
      <c r="H352" s="1324"/>
      <c r="I352" s="1324"/>
      <c r="J352" s="1324"/>
      <c r="K352" s="1324"/>
      <c r="L352" s="1324"/>
      <c r="M352" s="1324"/>
      <c r="N352" s="1324"/>
      <c r="O352" s="1324"/>
      <c r="P352" s="1324"/>
      <c r="Q352" s="1324"/>
      <c r="R352" s="1324"/>
      <c r="S352" s="1324"/>
      <c r="T352" s="1324"/>
      <c r="U352" s="1324"/>
      <c r="V352" s="1324"/>
      <c r="W352" s="1324"/>
      <c r="X352" s="1324"/>
      <c r="Y352" s="1324"/>
      <c r="Z352" s="1324"/>
      <c r="AA352" s="1324"/>
      <c r="AB352" s="1324"/>
      <c r="AC352" s="1324"/>
      <c r="AD352" s="1324"/>
      <c r="AE352" s="1324"/>
      <c r="AF352" s="1324"/>
      <c r="AG352" s="1324"/>
      <c r="AH352" s="1324"/>
    </row>
    <row r="353" spans="1:34" x14ac:dyDescent="0.25">
      <c r="A353" s="1324"/>
      <c r="B353" s="1324"/>
      <c r="C353" s="1324"/>
      <c r="D353" s="1324"/>
      <c r="E353" s="1324"/>
      <c r="F353" s="1324"/>
      <c r="G353" s="1324"/>
      <c r="H353" s="1324"/>
      <c r="I353" s="1324"/>
      <c r="J353" s="1324"/>
      <c r="K353" s="1324"/>
      <c r="L353" s="1324"/>
      <c r="M353" s="1324"/>
      <c r="N353" s="1324"/>
      <c r="O353" s="1324"/>
      <c r="P353" s="1324"/>
      <c r="Q353" s="1324"/>
      <c r="R353" s="1324"/>
      <c r="S353" s="1324"/>
      <c r="T353" s="1324"/>
      <c r="U353" s="1324"/>
      <c r="V353" s="1324"/>
      <c r="W353" s="1324"/>
      <c r="X353" s="1324"/>
      <c r="Y353" s="1324"/>
      <c r="Z353" s="1324"/>
      <c r="AA353" s="1324"/>
      <c r="AB353" s="1324"/>
      <c r="AC353" s="1324"/>
      <c r="AD353" s="1324"/>
      <c r="AE353" s="1324"/>
      <c r="AF353" s="1324"/>
      <c r="AG353" s="1324"/>
      <c r="AH353" s="1324"/>
    </row>
    <row r="354" spans="1:34" x14ac:dyDescent="0.25">
      <c r="A354" s="1324"/>
      <c r="B354" s="1324"/>
      <c r="C354" s="1324"/>
      <c r="D354" s="1324"/>
      <c r="E354" s="1324"/>
      <c r="F354" s="1324"/>
      <c r="G354" s="1324"/>
      <c r="H354" s="1324"/>
      <c r="I354" s="1324"/>
      <c r="J354" s="1324"/>
      <c r="K354" s="1324"/>
      <c r="L354" s="1324"/>
      <c r="M354" s="1324"/>
      <c r="N354" s="1324"/>
      <c r="O354" s="1324"/>
      <c r="P354" s="1324"/>
      <c r="Q354" s="1324"/>
      <c r="R354" s="1324"/>
      <c r="S354" s="1324"/>
      <c r="T354" s="1324"/>
      <c r="U354" s="1324"/>
      <c r="V354" s="1324"/>
      <c r="W354" s="1324"/>
      <c r="X354" s="1324"/>
      <c r="Y354" s="1324"/>
      <c r="Z354" s="1324"/>
      <c r="AA354" s="1324"/>
      <c r="AB354" s="1324"/>
      <c r="AC354" s="1324"/>
      <c r="AD354" s="1324"/>
      <c r="AE354" s="1324"/>
      <c r="AF354" s="1324"/>
      <c r="AG354" s="1324"/>
      <c r="AH354" s="1324"/>
    </row>
    <row r="355" spans="1:34" x14ac:dyDescent="0.25">
      <c r="A355" s="1324"/>
      <c r="B355" s="1324"/>
      <c r="C355" s="1324"/>
      <c r="D355" s="1324"/>
      <c r="E355" s="1324"/>
      <c r="F355" s="1324"/>
      <c r="G355" s="1324"/>
      <c r="H355" s="1324"/>
      <c r="I355" s="1324"/>
      <c r="J355" s="1324"/>
      <c r="K355" s="1324"/>
      <c r="L355" s="1324"/>
      <c r="M355" s="1324"/>
      <c r="N355" s="1324"/>
      <c r="O355" s="1324"/>
      <c r="P355" s="1324"/>
      <c r="Q355" s="1324"/>
      <c r="R355" s="1324"/>
      <c r="S355" s="1324"/>
      <c r="T355" s="1324"/>
      <c r="U355" s="1324"/>
      <c r="V355" s="1324"/>
      <c r="W355" s="1324"/>
      <c r="X355" s="1324"/>
      <c r="Y355" s="1324"/>
      <c r="Z355" s="1324"/>
      <c r="AA355" s="1324"/>
      <c r="AB355" s="1324"/>
      <c r="AC355" s="1324"/>
      <c r="AD355" s="1324"/>
      <c r="AE355" s="1324"/>
      <c r="AF355" s="1324"/>
      <c r="AG355" s="1324"/>
      <c r="AH355" s="1324"/>
    </row>
    <row r="356" spans="1:34" x14ac:dyDescent="0.25">
      <c r="A356" s="1324"/>
      <c r="B356" s="1324"/>
      <c r="C356" s="1324"/>
      <c r="D356" s="1324"/>
      <c r="E356" s="1324"/>
      <c r="F356" s="1324"/>
      <c r="G356" s="1324"/>
      <c r="H356" s="1324"/>
      <c r="I356" s="1324"/>
      <c r="J356" s="1324"/>
      <c r="K356" s="1324"/>
      <c r="L356" s="1324"/>
      <c r="M356" s="1324"/>
      <c r="N356" s="1324"/>
      <c r="O356" s="1324"/>
      <c r="P356" s="1324"/>
      <c r="Q356" s="1324"/>
      <c r="R356" s="1324"/>
      <c r="S356" s="1324"/>
      <c r="T356" s="1324"/>
      <c r="U356" s="1324"/>
      <c r="V356" s="1324"/>
      <c r="W356" s="1324"/>
      <c r="X356" s="1324"/>
      <c r="Y356" s="1324"/>
      <c r="Z356" s="1324"/>
      <c r="AA356" s="1324"/>
      <c r="AB356" s="1324"/>
      <c r="AC356" s="1324"/>
      <c r="AD356" s="1324"/>
      <c r="AE356" s="1324"/>
      <c r="AF356" s="1324"/>
      <c r="AG356" s="1324"/>
      <c r="AH356" s="1324"/>
    </row>
    <row r="357" spans="1:34" x14ac:dyDescent="0.25">
      <c r="A357" s="1324"/>
      <c r="B357" s="1324"/>
      <c r="C357" s="1324"/>
      <c r="D357" s="1324"/>
      <c r="E357" s="1324"/>
      <c r="F357" s="1324"/>
      <c r="G357" s="1324"/>
      <c r="H357" s="1324"/>
      <c r="I357" s="1324"/>
      <c r="J357" s="1324"/>
      <c r="K357" s="1324"/>
      <c r="L357" s="1324"/>
      <c r="M357" s="1324"/>
      <c r="N357" s="1324"/>
      <c r="O357" s="1324"/>
      <c r="P357" s="1324"/>
      <c r="Q357" s="1324"/>
      <c r="R357" s="1324"/>
      <c r="S357" s="1324"/>
      <c r="T357" s="1324"/>
      <c r="U357" s="1324"/>
      <c r="V357" s="1324"/>
      <c r="W357" s="1324"/>
      <c r="X357" s="1324"/>
      <c r="Y357" s="1324"/>
      <c r="Z357" s="1324"/>
      <c r="AA357" s="1324"/>
      <c r="AB357" s="1324"/>
      <c r="AC357" s="1324"/>
      <c r="AD357" s="1324"/>
      <c r="AE357" s="1324"/>
      <c r="AF357" s="1324"/>
      <c r="AG357" s="1324"/>
      <c r="AH357" s="1324"/>
    </row>
    <row r="358" spans="1:34" x14ac:dyDescent="0.25">
      <c r="A358" s="1324"/>
      <c r="B358" s="1324"/>
      <c r="C358" s="1324"/>
      <c r="D358" s="1324"/>
      <c r="E358" s="1324"/>
      <c r="F358" s="1324"/>
      <c r="G358" s="1324"/>
      <c r="H358" s="1324"/>
      <c r="I358" s="1324"/>
      <c r="J358" s="1324"/>
      <c r="K358" s="1324"/>
      <c r="L358" s="1324"/>
      <c r="M358" s="1324"/>
      <c r="N358" s="1324"/>
      <c r="O358" s="1324"/>
      <c r="P358" s="1324"/>
      <c r="Q358" s="1324"/>
      <c r="R358" s="1324"/>
      <c r="S358" s="1324"/>
      <c r="T358" s="1324"/>
      <c r="U358" s="1324"/>
      <c r="V358" s="1324"/>
      <c r="W358" s="1324"/>
      <c r="X358" s="1324"/>
      <c r="Y358" s="1324"/>
      <c r="Z358" s="1324"/>
      <c r="AA358" s="1324"/>
      <c r="AB358" s="1324"/>
      <c r="AC358" s="1324"/>
      <c r="AD358" s="1324"/>
      <c r="AE358" s="1324"/>
      <c r="AF358" s="1324"/>
      <c r="AG358" s="1324"/>
      <c r="AH358" s="1324"/>
    </row>
    <row r="359" spans="1:34" x14ac:dyDescent="0.25">
      <c r="A359" s="1324"/>
      <c r="B359" s="1324"/>
      <c r="C359" s="1324"/>
      <c r="D359" s="1324"/>
      <c r="E359" s="1324"/>
      <c r="F359" s="1324"/>
      <c r="G359" s="1324"/>
      <c r="H359" s="1324"/>
      <c r="I359" s="1324"/>
      <c r="J359" s="1324"/>
      <c r="K359" s="1324"/>
      <c r="L359" s="1324"/>
      <c r="M359" s="1324"/>
      <c r="N359" s="1324"/>
      <c r="O359" s="1324"/>
      <c r="P359" s="1324"/>
      <c r="Q359" s="1324"/>
      <c r="R359" s="1324"/>
      <c r="S359" s="1324"/>
      <c r="T359" s="1324"/>
      <c r="U359" s="1324"/>
      <c r="V359" s="1324"/>
      <c r="W359" s="1324"/>
      <c r="X359" s="1324"/>
      <c r="Y359" s="1324"/>
      <c r="Z359" s="1324"/>
      <c r="AA359" s="1324"/>
      <c r="AB359" s="1324"/>
      <c r="AC359" s="1324"/>
      <c r="AD359" s="1324"/>
      <c r="AE359" s="1324"/>
      <c r="AF359" s="1324"/>
      <c r="AG359" s="1324"/>
      <c r="AH359" s="1324"/>
    </row>
    <row r="360" spans="1:34" x14ac:dyDescent="0.25">
      <c r="A360" s="1324"/>
      <c r="B360" s="1324"/>
      <c r="C360" s="1324"/>
      <c r="D360" s="1324"/>
      <c r="E360" s="1324"/>
      <c r="F360" s="1324"/>
      <c r="G360" s="1324"/>
      <c r="H360" s="1324"/>
      <c r="I360" s="1324"/>
      <c r="J360" s="1324"/>
      <c r="K360" s="1324"/>
      <c r="L360" s="1324"/>
      <c r="M360" s="1324"/>
      <c r="N360" s="1324"/>
      <c r="O360" s="1324"/>
      <c r="P360" s="1324"/>
      <c r="Q360" s="1324"/>
      <c r="R360" s="1324"/>
      <c r="S360" s="1324"/>
      <c r="T360" s="1324"/>
      <c r="U360" s="1324"/>
      <c r="V360" s="1324"/>
      <c r="W360" s="1324"/>
      <c r="X360" s="1324"/>
      <c r="Y360" s="1324"/>
      <c r="Z360" s="1324"/>
      <c r="AA360" s="1324"/>
      <c r="AB360" s="1324"/>
      <c r="AC360" s="1324"/>
      <c r="AD360" s="1324"/>
      <c r="AE360" s="1324"/>
      <c r="AF360" s="1324"/>
      <c r="AG360" s="1324"/>
      <c r="AH360" s="1324"/>
    </row>
    <row r="361" spans="1:34" x14ac:dyDescent="0.25">
      <c r="A361" s="1324"/>
      <c r="B361" s="1324"/>
      <c r="C361" s="1324"/>
      <c r="D361" s="1324"/>
      <c r="E361" s="1324"/>
      <c r="F361" s="1324"/>
      <c r="G361" s="1324"/>
      <c r="H361" s="1324"/>
      <c r="I361" s="1324"/>
      <c r="J361" s="1324"/>
      <c r="K361" s="1324"/>
      <c r="L361" s="1324"/>
      <c r="M361" s="1324"/>
      <c r="N361" s="1324"/>
      <c r="O361" s="1324"/>
      <c r="P361" s="1324"/>
      <c r="Q361" s="1324"/>
      <c r="R361" s="1324"/>
      <c r="S361" s="1324"/>
      <c r="T361" s="1324"/>
      <c r="U361" s="1324"/>
      <c r="V361" s="1324"/>
      <c r="W361" s="1324"/>
      <c r="X361" s="1324"/>
      <c r="Y361" s="1324"/>
      <c r="Z361" s="1324"/>
      <c r="AA361" s="1324"/>
      <c r="AB361" s="1324"/>
      <c r="AC361" s="1324"/>
      <c r="AD361" s="1324"/>
      <c r="AE361" s="1324"/>
      <c r="AF361" s="1324"/>
      <c r="AG361" s="1324"/>
      <c r="AH361" s="1324"/>
    </row>
    <row r="362" spans="1:34" x14ac:dyDescent="0.25">
      <c r="A362" s="1324"/>
      <c r="B362" s="1324"/>
      <c r="C362" s="1324"/>
      <c r="D362" s="1324"/>
      <c r="E362" s="1324"/>
      <c r="F362" s="1324"/>
      <c r="G362" s="1324"/>
      <c r="H362" s="1324"/>
      <c r="I362" s="1324"/>
      <c r="J362" s="1324"/>
      <c r="K362" s="1324"/>
      <c r="L362" s="1324"/>
      <c r="M362" s="1324"/>
      <c r="N362" s="1324"/>
      <c r="O362" s="1324"/>
      <c r="P362" s="1324"/>
      <c r="Q362" s="1324"/>
      <c r="R362" s="1324"/>
      <c r="S362" s="1324"/>
      <c r="T362" s="1324"/>
      <c r="U362" s="1324"/>
      <c r="V362" s="1324"/>
      <c r="W362" s="1324"/>
      <c r="X362" s="1324"/>
      <c r="Y362" s="1324"/>
      <c r="Z362" s="1324"/>
      <c r="AA362" s="1324"/>
      <c r="AB362" s="1324"/>
      <c r="AC362" s="1324"/>
      <c r="AD362" s="1324"/>
      <c r="AE362" s="1324"/>
      <c r="AF362" s="1324"/>
      <c r="AG362" s="1324"/>
      <c r="AH362" s="1324"/>
    </row>
    <row r="363" spans="1:34" x14ac:dyDescent="0.25">
      <c r="A363" s="1324"/>
      <c r="B363" s="1324"/>
      <c r="C363" s="1324"/>
      <c r="D363" s="1324"/>
      <c r="E363" s="1324"/>
      <c r="F363" s="1324"/>
      <c r="G363" s="1324"/>
      <c r="H363" s="1324"/>
      <c r="I363" s="1324"/>
      <c r="J363" s="1324"/>
      <c r="K363" s="1324"/>
      <c r="L363" s="1324"/>
      <c r="M363" s="1324"/>
      <c r="N363" s="1324"/>
      <c r="O363" s="1324"/>
      <c r="P363" s="1324"/>
      <c r="Q363" s="1324"/>
      <c r="R363" s="1324"/>
      <c r="S363" s="1324"/>
      <c r="T363" s="1324"/>
      <c r="U363" s="1324"/>
      <c r="V363" s="1324"/>
      <c r="W363" s="1324"/>
      <c r="X363" s="1324"/>
      <c r="Y363" s="1324"/>
      <c r="Z363" s="1324"/>
      <c r="AA363" s="1324"/>
      <c r="AB363" s="1324"/>
      <c r="AC363" s="1324"/>
      <c r="AD363" s="1324"/>
      <c r="AE363" s="1324"/>
      <c r="AF363" s="1324"/>
      <c r="AG363" s="1324"/>
      <c r="AH363" s="1324"/>
    </row>
    <row r="364" spans="1:34" x14ac:dyDescent="0.25">
      <c r="A364" s="1324"/>
      <c r="B364" s="1324"/>
      <c r="C364" s="1324"/>
      <c r="D364" s="1324"/>
      <c r="E364" s="1324"/>
      <c r="F364" s="1324"/>
      <c r="G364" s="1324"/>
      <c r="H364" s="1324"/>
      <c r="I364" s="1324"/>
      <c r="J364" s="1324"/>
      <c r="K364" s="1324"/>
      <c r="L364" s="1324"/>
      <c r="M364" s="1324"/>
      <c r="N364" s="1324"/>
      <c r="O364" s="1324"/>
      <c r="P364" s="1324"/>
      <c r="Q364" s="1324"/>
      <c r="R364" s="1324"/>
      <c r="S364" s="1324"/>
      <c r="T364" s="1324"/>
      <c r="U364" s="1324"/>
      <c r="V364" s="1324"/>
      <c r="W364" s="1324"/>
      <c r="X364" s="1324"/>
      <c r="Y364" s="1324"/>
      <c r="Z364" s="1324"/>
      <c r="AA364" s="1324"/>
      <c r="AB364" s="1324"/>
      <c r="AC364" s="1324"/>
      <c r="AD364" s="1324"/>
      <c r="AE364" s="1324"/>
      <c r="AF364" s="1324"/>
      <c r="AG364" s="1324"/>
      <c r="AH364" s="1324"/>
    </row>
    <row r="365" spans="1:34" x14ac:dyDescent="0.25">
      <c r="A365" s="1324"/>
      <c r="B365" s="1324"/>
      <c r="C365" s="1324"/>
      <c r="D365" s="1324"/>
      <c r="E365" s="1324"/>
      <c r="F365" s="1324"/>
      <c r="G365" s="1324"/>
      <c r="H365" s="1324"/>
      <c r="I365" s="1324"/>
      <c r="J365" s="1324"/>
      <c r="K365" s="1324"/>
      <c r="L365" s="1324"/>
      <c r="M365" s="1324"/>
      <c r="N365" s="1324"/>
      <c r="O365" s="1324"/>
      <c r="P365" s="1324"/>
      <c r="Q365" s="1324"/>
      <c r="R365" s="1324"/>
      <c r="S365" s="1324"/>
      <c r="T365" s="1324"/>
      <c r="U365" s="1324"/>
      <c r="V365" s="1324"/>
      <c r="W365" s="1324"/>
      <c r="X365" s="1324"/>
      <c r="Y365" s="1324"/>
      <c r="Z365" s="1324"/>
      <c r="AA365" s="1324"/>
      <c r="AB365" s="1324"/>
      <c r="AC365" s="1324"/>
      <c r="AD365" s="1324"/>
      <c r="AE365" s="1324"/>
      <c r="AF365" s="1324"/>
      <c r="AG365" s="1324"/>
      <c r="AH365" s="1324"/>
    </row>
    <row r="366" spans="1:34" x14ac:dyDescent="0.25">
      <c r="A366" s="1324"/>
      <c r="B366" s="1324"/>
      <c r="C366" s="1324"/>
      <c r="D366" s="1324"/>
      <c r="E366" s="1324"/>
      <c r="F366" s="1324"/>
      <c r="G366" s="1324"/>
      <c r="H366" s="1324"/>
      <c r="I366" s="1324"/>
      <c r="J366" s="1324"/>
      <c r="K366" s="1324"/>
      <c r="L366" s="1324"/>
      <c r="M366" s="1324"/>
      <c r="N366" s="1324"/>
      <c r="O366" s="1324"/>
      <c r="P366" s="1324"/>
      <c r="Q366" s="1324"/>
      <c r="R366" s="1324"/>
      <c r="S366" s="1324"/>
      <c r="T366" s="1324"/>
      <c r="U366" s="1324"/>
      <c r="V366" s="1324"/>
      <c r="W366" s="1324"/>
      <c r="X366" s="1324"/>
      <c r="Y366" s="1324"/>
      <c r="Z366" s="1324"/>
      <c r="AA366" s="1324"/>
      <c r="AB366" s="1324"/>
      <c r="AC366" s="1324"/>
      <c r="AD366" s="1324"/>
      <c r="AE366" s="1324"/>
      <c r="AF366" s="1324"/>
      <c r="AG366" s="1324"/>
      <c r="AH366" s="1324"/>
    </row>
    <row r="367" spans="1:34" x14ac:dyDescent="0.25">
      <c r="A367" s="1324"/>
      <c r="B367" s="1324"/>
      <c r="C367" s="1324"/>
      <c r="D367" s="1324"/>
      <c r="E367" s="1324"/>
      <c r="F367" s="1324"/>
      <c r="G367" s="1324"/>
      <c r="H367" s="1324"/>
      <c r="I367" s="1324"/>
      <c r="J367" s="1324"/>
      <c r="K367" s="1324"/>
      <c r="L367" s="1324"/>
      <c r="M367" s="1324"/>
      <c r="N367" s="1324"/>
      <c r="O367" s="1324"/>
      <c r="P367" s="1324"/>
      <c r="Q367" s="1324"/>
      <c r="R367" s="1324"/>
      <c r="S367" s="1324"/>
      <c r="T367" s="1324"/>
      <c r="U367" s="1324"/>
      <c r="V367" s="1324"/>
      <c r="W367" s="1324"/>
      <c r="X367" s="1324"/>
      <c r="Y367" s="1324"/>
      <c r="Z367" s="1324"/>
      <c r="AA367" s="1324"/>
      <c r="AB367" s="1324"/>
      <c r="AC367" s="1324"/>
      <c r="AD367" s="1324"/>
      <c r="AE367" s="1324"/>
      <c r="AF367" s="1324"/>
      <c r="AG367" s="1324"/>
      <c r="AH367" s="1324"/>
    </row>
    <row r="368" spans="1:34" x14ac:dyDescent="0.25">
      <c r="A368" s="1324"/>
      <c r="B368" s="1324"/>
      <c r="C368" s="1324"/>
      <c r="D368" s="1324"/>
      <c r="E368" s="1324"/>
      <c r="F368" s="1324"/>
      <c r="G368" s="1324"/>
      <c r="H368" s="1324"/>
      <c r="I368" s="1324"/>
      <c r="J368" s="1324"/>
      <c r="K368" s="1324"/>
      <c r="L368" s="1324"/>
      <c r="M368" s="1324"/>
      <c r="N368" s="1324"/>
      <c r="O368" s="1324"/>
      <c r="P368" s="1324"/>
      <c r="Q368" s="1324"/>
      <c r="R368" s="1324"/>
      <c r="S368" s="1324"/>
      <c r="T368" s="1324"/>
      <c r="U368" s="1324"/>
      <c r="V368" s="1324"/>
      <c r="W368" s="1324"/>
      <c r="X368" s="1324"/>
      <c r="Y368" s="1324"/>
      <c r="Z368" s="1324"/>
      <c r="AA368" s="1324"/>
      <c r="AB368" s="1324"/>
      <c r="AC368" s="1324"/>
      <c r="AD368" s="1324"/>
      <c r="AE368" s="1324"/>
      <c r="AF368" s="1324"/>
      <c r="AG368" s="1324"/>
      <c r="AH368" s="1324"/>
    </row>
    <row r="369" spans="1:34" x14ac:dyDescent="0.25">
      <c r="A369" s="1324"/>
      <c r="B369" s="1324"/>
      <c r="C369" s="1324"/>
      <c r="D369" s="1324"/>
      <c r="E369" s="1324"/>
      <c r="F369" s="1324"/>
      <c r="G369" s="1324"/>
      <c r="H369" s="1324"/>
      <c r="I369" s="1324"/>
      <c r="J369" s="1324"/>
      <c r="K369" s="1324"/>
      <c r="L369" s="1324"/>
      <c r="M369" s="1324"/>
      <c r="N369" s="1324"/>
      <c r="O369" s="1324"/>
      <c r="P369" s="1324"/>
      <c r="Q369" s="1324"/>
      <c r="R369" s="1324"/>
      <c r="S369" s="1324"/>
      <c r="T369" s="1324"/>
      <c r="U369" s="1324"/>
      <c r="V369" s="1324"/>
      <c r="W369" s="1324"/>
      <c r="X369" s="1324"/>
      <c r="Y369" s="1324"/>
      <c r="Z369" s="1324"/>
      <c r="AA369" s="1324"/>
      <c r="AB369" s="1324"/>
      <c r="AC369" s="1324"/>
      <c r="AD369" s="1324"/>
      <c r="AE369" s="1324"/>
      <c r="AF369" s="1324"/>
      <c r="AG369" s="1324"/>
      <c r="AH369" s="1324"/>
    </row>
    <row r="370" spans="1:34" x14ac:dyDescent="0.25">
      <c r="A370" s="1324"/>
      <c r="B370" s="1324"/>
      <c r="C370" s="1324"/>
      <c r="D370" s="1324"/>
      <c r="E370" s="1324"/>
      <c r="F370" s="1324"/>
      <c r="G370" s="1324"/>
      <c r="H370" s="1324"/>
      <c r="I370" s="1324"/>
      <c r="J370" s="1324"/>
      <c r="K370" s="1324"/>
      <c r="L370" s="1324"/>
      <c r="M370" s="1324"/>
      <c r="N370" s="1324"/>
      <c r="O370" s="1324"/>
      <c r="P370" s="1324"/>
      <c r="Q370" s="1324"/>
      <c r="R370" s="1324"/>
      <c r="S370" s="1324"/>
      <c r="T370" s="1324"/>
      <c r="U370" s="1324"/>
      <c r="V370" s="1324"/>
      <c r="W370" s="1324"/>
      <c r="X370" s="1324"/>
      <c r="Y370" s="1324"/>
      <c r="Z370" s="1324"/>
      <c r="AA370" s="1324"/>
      <c r="AB370" s="1324"/>
      <c r="AC370" s="1324"/>
      <c r="AD370" s="1324"/>
      <c r="AE370" s="1324"/>
      <c r="AF370" s="1324"/>
      <c r="AG370" s="1324"/>
      <c r="AH370" s="1324"/>
    </row>
    <row r="371" spans="1:34" x14ac:dyDescent="0.25">
      <c r="A371" s="1324"/>
      <c r="B371" s="1324"/>
      <c r="C371" s="1324"/>
      <c r="D371" s="1324"/>
      <c r="E371" s="1324"/>
      <c r="F371" s="1324"/>
      <c r="G371" s="1324"/>
      <c r="H371" s="1324"/>
      <c r="I371" s="1324"/>
      <c r="J371" s="1324"/>
      <c r="K371" s="1324"/>
      <c r="L371" s="1324"/>
      <c r="M371" s="1324"/>
      <c r="N371" s="1324"/>
      <c r="O371" s="1324"/>
      <c r="P371" s="1324"/>
      <c r="Q371" s="1324"/>
      <c r="R371" s="1324"/>
      <c r="S371" s="1324"/>
      <c r="T371" s="1324"/>
      <c r="U371" s="1324"/>
      <c r="V371" s="1324"/>
      <c r="W371" s="1324"/>
      <c r="X371" s="1324"/>
      <c r="Y371" s="1324"/>
      <c r="Z371" s="1324"/>
      <c r="AA371" s="1324"/>
      <c r="AB371" s="1324"/>
      <c r="AC371" s="1324"/>
      <c r="AD371" s="1324"/>
      <c r="AE371" s="1324"/>
      <c r="AF371" s="1324"/>
      <c r="AG371" s="1324"/>
      <c r="AH371" s="1324"/>
    </row>
    <row r="372" spans="1:34" x14ac:dyDescent="0.25">
      <c r="A372" s="1324"/>
      <c r="B372" s="1324"/>
      <c r="C372" s="1324"/>
      <c r="D372" s="1324"/>
      <c r="E372" s="1324"/>
      <c r="F372" s="1324"/>
      <c r="G372" s="1324"/>
      <c r="H372" s="1324"/>
      <c r="I372" s="1324"/>
      <c r="J372" s="1324"/>
      <c r="K372" s="1324"/>
      <c r="L372" s="1324"/>
      <c r="M372" s="1324"/>
      <c r="N372" s="1324"/>
      <c r="O372" s="1324"/>
      <c r="P372" s="1324"/>
      <c r="Q372" s="1324"/>
      <c r="R372" s="1324"/>
      <c r="S372" s="1324"/>
      <c r="T372" s="1324"/>
      <c r="U372" s="1324"/>
      <c r="V372" s="1324"/>
      <c r="W372" s="1324"/>
      <c r="X372" s="1324"/>
      <c r="Y372" s="1324"/>
      <c r="Z372" s="1324"/>
      <c r="AA372" s="1324"/>
      <c r="AB372" s="1324"/>
      <c r="AC372" s="1324"/>
      <c r="AD372" s="1324"/>
      <c r="AE372" s="1324"/>
      <c r="AF372" s="1324"/>
      <c r="AG372" s="1324"/>
      <c r="AH372" s="1324"/>
    </row>
    <row r="373" spans="1:34" x14ac:dyDescent="0.25">
      <c r="A373" s="1324"/>
      <c r="B373" s="1324"/>
      <c r="C373" s="1324"/>
      <c r="D373" s="1324"/>
      <c r="E373" s="1324"/>
      <c r="F373" s="1324"/>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c r="AA373" s="1324"/>
      <c r="AB373" s="1324"/>
      <c r="AC373" s="1324"/>
      <c r="AD373" s="1324"/>
      <c r="AE373" s="1324"/>
      <c r="AF373" s="1324"/>
      <c r="AG373" s="1324"/>
      <c r="AH373" s="1324"/>
    </row>
    <row r="374" spans="1:34" x14ac:dyDescent="0.25">
      <c r="A374" s="1324"/>
      <c r="B374" s="1324"/>
      <c r="C374" s="1324"/>
      <c r="D374" s="1324"/>
      <c r="E374" s="1324"/>
      <c r="F374" s="1324"/>
      <c r="G374" s="1324"/>
      <c r="H374" s="1324"/>
      <c r="I374" s="1324"/>
      <c r="J374" s="1324"/>
      <c r="K374" s="1324"/>
      <c r="L374" s="1324"/>
      <c r="M374" s="1324"/>
      <c r="N374" s="1324"/>
      <c r="O374" s="1324"/>
      <c r="P374" s="1324"/>
      <c r="Q374" s="1324"/>
      <c r="R374" s="1324"/>
      <c r="S374" s="1324"/>
      <c r="T374" s="1324"/>
      <c r="U374" s="1324"/>
      <c r="V374" s="1324"/>
      <c r="W374" s="1324"/>
      <c r="X374" s="1324"/>
      <c r="Y374" s="1324"/>
      <c r="Z374" s="1324"/>
      <c r="AA374" s="1324"/>
      <c r="AB374" s="1324"/>
      <c r="AC374" s="1324"/>
      <c r="AD374" s="1324"/>
      <c r="AE374" s="1324"/>
      <c r="AF374" s="1324"/>
      <c r="AG374" s="1324"/>
      <c r="AH374" s="1324"/>
    </row>
    <row r="375" spans="1:34" x14ac:dyDescent="0.25">
      <c r="A375" s="1324"/>
      <c r="B375" s="1324"/>
      <c r="C375" s="1324"/>
      <c r="D375" s="1324"/>
      <c r="E375" s="1324"/>
      <c r="F375" s="1324"/>
      <c r="G375" s="1324"/>
      <c r="H375" s="1324"/>
      <c r="I375" s="1324"/>
      <c r="J375" s="1324"/>
      <c r="K375" s="1324"/>
      <c r="L375" s="1324"/>
      <c r="M375" s="1324"/>
      <c r="N375" s="1324"/>
      <c r="O375" s="1324"/>
      <c r="P375" s="1324"/>
      <c r="Q375" s="1324"/>
      <c r="R375" s="1324"/>
      <c r="S375" s="1324"/>
      <c r="T375" s="1324"/>
      <c r="U375" s="1324"/>
      <c r="V375" s="1324"/>
      <c r="W375" s="1324"/>
      <c r="X375" s="1324"/>
      <c r="Y375" s="1324"/>
      <c r="Z375" s="1324"/>
      <c r="AA375" s="1324"/>
      <c r="AB375" s="1324"/>
      <c r="AC375" s="1324"/>
      <c r="AD375" s="1324"/>
      <c r="AE375" s="1324"/>
      <c r="AF375" s="1324"/>
      <c r="AG375" s="1324"/>
      <c r="AH375" s="1324"/>
    </row>
    <row r="376" spans="1:34" x14ac:dyDescent="0.25">
      <c r="A376" s="1324"/>
      <c r="B376" s="1324"/>
      <c r="C376" s="1324"/>
      <c r="D376" s="1324"/>
      <c r="E376" s="1324"/>
      <c r="F376" s="1324"/>
      <c r="G376" s="1324"/>
      <c r="H376" s="1324"/>
      <c r="I376" s="1324"/>
      <c r="J376" s="1324"/>
      <c r="K376" s="1324"/>
      <c r="L376" s="1324"/>
      <c r="M376" s="1324"/>
      <c r="N376" s="1324"/>
      <c r="O376" s="1324"/>
      <c r="P376" s="1324"/>
      <c r="Q376" s="1324"/>
      <c r="R376" s="1324"/>
      <c r="S376" s="1324"/>
      <c r="T376" s="1324"/>
      <c r="U376" s="1324"/>
      <c r="V376" s="1324"/>
      <c r="W376" s="1324"/>
      <c r="X376" s="1324"/>
      <c r="Y376" s="1324"/>
      <c r="Z376" s="1324"/>
      <c r="AA376" s="1324"/>
      <c r="AB376" s="1324"/>
      <c r="AC376" s="1324"/>
      <c r="AD376" s="1324"/>
      <c r="AE376" s="1324"/>
      <c r="AF376" s="1324"/>
      <c r="AG376" s="1324"/>
      <c r="AH376" s="1324"/>
    </row>
    <row r="377" spans="1:34" x14ac:dyDescent="0.25">
      <c r="A377" s="1324"/>
      <c r="B377" s="1324"/>
      <c r="C377" s="1324"/>
      <c r="D377" s="1324"/>
      <c r="E377" s="1324"/>
      <c r="F377" s="1324"/>
      <c r="G377" s="1324"/>
      <c r="H377" s="1324"/>
      <c r="I377" s="1324"/>
      <c r="J377" s="1324"/>
      <c r="K377" s="1324"/>
      <c r="L377" s="1324"/>
      <c r="M377" s="1324"/>
      <c r="N377" s="1324"/>
      <c r="O377" s="1324"/>
      <c r="P377" s="1324"/>
      <c r="Q377" s="1324"/>
      <c r="R377" s="1324"/>
      <c r="S377" s="1324"/>
      <c r="T377" s="1324"/>
      <c r="U377" s="1324"/>
      <c r="V377" s="1324"/>
      <c r="W377" s="1324"/>
      <c r="X377" s="1324"/>
      <c r="Y377" s="1324"/>
      <c r="Z377" s="1324"/>
      <c r="AA377" s="1324"/>
      <c r="AB377" s="1324"/>
      <c r="AC377" s="1324"/>
      <c r="AD377" s="1324"/>
      <c r="AE377" s="1324"/>
      <c r="AF377" s="1324"/>
      <c r="AG377" s="1324"/>
      <c r="AH377" s="1324"/>
    </row>
    <row r="378" spans="1:34" x14ac:dyDescent="0.25">
      <c r="A378" s="1324"/>
      <c r="B378" s="1324"/>
      <c r="C378" s="1324"/>
      <c r="D378" s="1324"/>
      <c r="E378" s="1324"/>
      <c r="F378" s="1324"/>
      <c r="G378" s="1324"/>
      <c r="H378" s="1324"/>
      <c r="I378" s="1324"/>
      <c r="J378" s="1324"/>
      <c r="K378" s="1324"/>
      <c r="L378" s="1324"/>
      <c r="M378" s="1324"/>
      <c r="N378" s="1324"/>
      <c r="O378" s="1324"/>
      <c r="P378" s="1324"/>
      <c r="Q378" s="1324"/>
      <c r="R378" s="1324"/>
      <c r="S378" s="1324"/>
      <c r="T378" s="1324"/>
      <c r="U378" s="1324"/>
      <c r="V378" s="1324"/>
      <c r="W378" s="1324"/>
      <c r="X378" s="1324"/>
      <c r="Y378" s="1324"/>
      <c r="Z378" s="1324"/>
      <c r="AA378" s="1324"/>
      <c r="AB378" s="1324"/>
      <c r="AC378" s="1324"/>
      <c r="AD378" s="1324"/>
      <c r="AE378" s="1324"/>
      <c r="AF378" s="1324"/>
      <c r="AG378" s="1324"/>
      <c r="AH378" s="1324"/>
    </row>
    <row r="379" spans="1:34" x14ac:dyDescent="0.25">
      <c r="A379" s="1324"/>
      <c r="B379" s="1324"/>
      <c r="C379" s="1324"/>
      <c r="D379" s="1324"/>
      <c r="E379" s="1324"/>
      <c r="F379" s="1324"/>
      <c r="G379" s="1324"/>
      <c r="H379" s="1324"/>
      <c r="I379" s="1324"/>
      <c r="J379" s="1324"/>
      <c r="K379" s="1324"/>
      <c r="L379" s="1324"/>
      <c r="M379" s="1324"/>
      <c r="N379" s="1324"/>
      <c r="O379" s="1324"/>
      <c r="P379" s="1324"/>
      <c r="Q379" s="1324"/>
      <c r="R379" s="1324"/>
      <c r="S379" s="1324"/>
      <c r="T379" s="1324"/>
      <c r="U379" s="1324"/>
      <c r="V379" s="1324"/>
      <c r="W379" s="1324"/>
      <c r="X379" s="1324"/>
      <c r="Y379" s="1324"/>
      <c r="Z379" s="1324"/>
      <c r="AA379" s="1324"/>
      <c r="AB379" s="1324"/>
      <c r="AC379" s="1324"/>
      <c r="AD379" s="1324"/>
      <c r="AE379" s="1324"/>
      <c r="AF379" s="1324"/>
      <c r="AG379" s="1324"/>
      <c r="AH379" s="1324"/>
    </row>
    <row r="380" spans="1:34" x14ac:dyDescent="0.25">
      <c r="A380" s="1324"/>
      <c r="B380" s="1324"/>
      <c r="C380" s="1324"/>
      <c r="D380" s="1324"/>
      <c r="E380" s="1324"/>
      <c r="F380" s="1324"/>
      <c r="G380" s="1324"/>
      <c r="H380" s="1324"/>
      <c r="I380" s="1324"/>
      <c r="J380" s="1324"/>
      <c r="K380" s="1324"/>
      <c r="L380" s="1324"/>
      <c r="M380" s="1324"/>
      <c r="N380" s="1324"/>
      <c r="O380" s="1324"/>
      <c r="P380" s="1324"/>
      <c r="Q380" s="1324"/>
      <c r="R380" s="1324"/>
      <c r="S380" s="1324"/>
      <c r="T380" s="1324"/>
      <c r="U380" s="1324"/>
      <c r="V380" s="1324"/>
      <c r="W380" s="1324"/>
      <c r="X380" s="1324"/>
      <c r="Y380" s="1324"/>
      <c r="Z380" s="1324"/>
      <c r="AA380" s="1324"/>
      <c r="AB380" s="1324"/>
      <c r="AC380" s="1324"/>
      <c r="AD380" s="1324"/>
      <c r="AE380" s="1324"/>
      <c r="AF380" s="1324"/>
      <c r="AG380" s="1324"/>
      <c r="AH380" s="1324"/>
    </row>
    <row r="381" spans="1:34" x14ac:dyDescent="0.25">
      <c r="A381" s="1324"/>
      <c r="B381" s="1324"/>
      <c r="C381" s="1324"/>
      <c r="D381" s="1324"/>
      <c r="E381" s="1324"/>
      <c r="F381" s="1324"/>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c r="AA381" s="1324"/>
      <c r="AB381" s="1324"/>
      <c r="AC381" s="1324"/>
      <c r="AD381" s="1324"/>
      <c r="AE381" s="1324"/>
      <c r="AF381" s="1324"/>
      <c r="AG381" s="1324"/>
      <c r="AH381" s="1324"/>
    </row>
    <row r="382" spans="1:34" x14ac:dyDescent="0.25">
      <c r="A382" s="1324"/>
      <c r="B382" s="1324"/>
      <c r="C382" s="1324"/>
      <c r="D382" s="1324"/>
      <c r="E382" s="1324"/>
      <c r="F382" s="1324"/>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c r="AA382" s="1324"/>
      <c r="AB382" s="1324"/>
      <c r="AC382" s="1324"/>
      <c r="AD382" s="1324"/>
      <c r="AE382" s="1324"/>
      <c r="AF382" s="1324"/>
      <c r="AG382" s="1324"/>
      <c r="AH382" s="1324"/>
    </row>
    <row r="383" spans="1:34" x14ac:dyDescent="0.25">
      <c r="A383" s="1324"/>
      <c r="B383" s="1324"/>
      <c r="C383" s="1324"/>
      <c r="D383" s="1324"/>
      <c r="E383" s="1324"/>
      <c r="F383" s="1324"/>
      <c r="G383" s="1324"/>
      <c r="H383" s="1324"/>
      <c r="I383" s="1324"/>
      <c r="J383" s="1324"/>
      <c r="K383" s="1324"/>
      <c r="L383" s="1324"/>
      <c r="M383" s="1324"/>
      <c r="N383" s="1324"/>
      <c r="O383" s="1324"/>
      <c r="P383" s="1324"/>
      <c r="Q383" s="1324"/>
      <c r="R383" s="1324"/>
      <c r="S383" s="1324"/>
      <c r="T383" s="1324"/>
      <c r="U383" s="1324"/>
      <c r="V383" s="1324"/>
      <c r="W383" s="1324"/>
      <c r="X383" s="1324"/>
      <c r="Y383" s="1324"/>
      <c r="Z383" s="1324"/>
      <c r="AA383" s="1324"/>
      <c r="AB383" s="1324"/>
      <c r="AC383" s="1324"/>
      <c r="AD383" s="1324"/>
      <c r="AE383" s="1324"/>
      <c r="AF383" s="1324"/>
      <c r="AG383" s="1324"/>
      <c r="AH383" s="1324"/>
    </row>
    <row r="384" spans="1:34" x14ac:dyDescent="0.25">
      <c r="A384" s="1324"/>
      <c r="B384" s="1324"/>
      <c r="C384" s="1324"/>
      <c r="D384" s="1324"/>
      <c r="E384" s="1324"/>
      <c r="F384" s="1324"/>
      <c r="G384" s="1324"/>
      <c r="H384" s="1324"/>
      <c r="I384" s="1324"/>
      <c r="J384" s="1324"/>
      <c r="K384" s="1324"/>
      <c r="L384" s="1324"/>
      <c r="M384" s="1324"/>
      <c r="N384" s="1324"/>
      <c r="O384" s="1324"/>
      <c r="P384" s="1324"/>
      <c r="Q384" s="1324"/>
      <c r="R384" s="1324"/>
      <c r="S384" s="1324"/>
      <c r="T384" s="1324"/>
      <c r="U384" s="1324"/>
      <c r="V384" s="1324"/>
      <c r="W384" s="1324"/>
      <c r="X384" s="1324"/>
      <c r="Y384" s="1324"/>
      <c r="Z384" s="1324"/>
      <c r="AA384" s="1324"/>
      <c r="AB384" s="1324"/>
      <c r="AC384" s="1324"/>
      <c r="AD384" s="1324"/>
      <c r="AE384" s="1324"/>
      <c r="AF384" s="1324"/>
      <c r="AG384" s="1324"/>
      <c r="AH384" s="1324"/>
    </row>
    <row r="385" spans="1:34" x14ac:dyDescent="0.25">
      <c r="A385" s="1324"/>
      <c r="B385" s="1324"/>
      <c r="C385" s="1324"/>
      <c r="D385" s="1324"/>
      <c r="E385" s="1324"/>
      <c r="F385" s="1324"/>
      <c r="G385" s="1324"/>
      <c r="H385" s="1324"/>
      <c r="I385" s="1324"/>
      <c r="J385" s="1324"/>
      <c r="K385" s="1324"/>
      <c r="L385" s="1324"/>
      <c r="M385" s="1324"/>
      <c r="N385" s="1324"/>
      <c r="O385" s="1324"/>
      <c r="P385" s="1324"/>
      <c r="Q385" s="1324"/>
      <c r="R385" s="1324"/>
      <c r="S385" s="1324"/>
      <c r="T385" s="1324"/>
      <c r="U385" s="1324"/>
      <c r="V385" s="1324"/>
      <c r="W385" s="1324"/>
      <c r="X385" s="1324"/>
      <c r="Y385" s="1324"/>
      <c r="Z385" s="1324"/>
      <c r="AA385" s="1324"/>
      <c r="AB385" s="1324"/>
      <c r="AC385" s="1324"/>
      <c r="AD385" s="1324"/>
      <c r="AE385" s="1324"/>
      <c r="AF385" s="1324"/>
      <c r="AG385" s="1324"/>
      <c r="AH385" s="1324"/>
    </row>
    <row r="386" spans="1:34" x14ac:dyDescent="0.25">
      <c r="A386" s="1324"/>
      <c r="B386" s="1324"/>
      <c r="C386" s="1324"/>
      <c r="D386" s="1324"/>
      <c r="E386" s="1324"/>
      <c r="F386" s="1324"/>
      <c r="G386" s="1324"/>
      <c r="H386" s="1324"/>
      <c r="I386" s="1324"/>
      <c r="J386" s="1324"/>
      <c r="K386" s="1324"/>
      <c r="L386" s="1324"/>
      <c r="M386" s="1324"/>
      <c r="N386" s="1324"/>
      <c r="O386" s="1324"/>
      <c r="P386" s="1324"/>
      <c r="Q386" s="1324"/>
      <c r="R386" s="1324"/>
      <c r="S386" s="1324"/>
      <c r="T386" s="1324"/>
      <c r="U386" s="1324"/>
      <c r="V386" s="1324"/>
      <c r="W386" s="1324"/>
      <c r="X386" s="1324"/>
      <c r="Y386" s="1324"/>
      <c r="Z386" s="1324"/>
      <c r="AA386" s="1324"/>
      <c r="AB386" s="1324"/>
      <c r="AC386" s="1324"/>
      <c r="AD386" s="1324"/>
      <c r="AE386" s="1324"/>
      <c r="AF386" s="1324"/>
      <c r="AG386" s="1324"/>
      <c r="AH386" s="1324"/>
    </row>
    <row r="387" spans="1:34" x14ac:dyDescent="0.25">
      <c r="A387" s="1324"/>
      <c r="B387" s="1324"/>
      <c r="C387" s="1324"/>
      <c r="D387" s="1324"/>
      <c r="E387" s="1324"/>
      <c r="F387" s="1324"/>
      <c r="G387" s="1324"/>
      <c r="H387" s="1324"/>
      <c r="I387" s="1324"/>
      <c r="J387" s="1324"/>
      <c r="K387" s="1324"/>
      <c r="L387" s="1324"/>
      <c r="M387" s="1324"/>
      <c r="N387" s="1324"/>
      <c r="O387" s="1324"/>
      <c r="P387" s="1324"/>
      <c r="Q387" s="1324"/>
      <c r="R387" s="1324"/>
      <c r="S387" s="1324"/>
      <c r="T387" s="1324"/>
      <c r="U387" s="1324"/>
      <c r="V387" s="1324"/>
      <c r="W387" s="1324"/>
      <c r="X387" s="1324"/>
      <c r="Y387" s="1324"/>
      <c r="Z387" s="1324"/>
      <c r="AA387" s="1324"/>
      <c r="AB387" s="1324"/>
      <c r="AC387" s="1324"/>
      <c r="AD387" s="1324"/>
      <c r="AE387" s="1324"/>
      <c r="AF387" s="1324"/>
      <c r="AG387" s="1324"/>
      <c r="AH387" s="1324"/>
    </row>
    <row r="388" spans="1:34" x14ac:dyDescent="0.25">
      <c r="A388" s="1324"/>
      <c r="B388" s="1324"/>
      <c r="C388" s="1324"/>
      <c r="D388" s="1324"/>
      <c r="E388" s="1324"/>
      <c r="F388" s="1324"/>
      <c r="G388" s="1324"/>
      <c r="H388" s="1324"/>
      <c r="I388" s="1324"/>
      <c r="J388" s="1324"/>
      <c r="K388" s="1324"/>
      <c r="L388" s="1324"/>
      <c r="M388" s="1324"/>
      <c r="N388" s="1324"/>
      <c r="O388" s="1324"/>
      <c r="P388" s="1324"/>
      <c r="Q388" s="1324"/>
      <c r="R388" s="1324"/>
      <c r="S388" s="1324"/>
      <c r="T388" s="1324"/>
      <c r="U388" s="1324"/>
      <c r="V388" s="1324"/>
      <c r="W388" s="1324"/>
      <c r="X388" s="1324"/>
      <c r="Y388" s="1324"/>
      <c r="Z388" s="1324"/>
      <c r="AA388" s="1324"/>
      <c r="AB388" s="1324"/>
      <c r="AC388" s="1324"/>
      <c r="AD388" s="1324"/>
      <c r="AE388" s="1324"/>
      <c r="AF388" s="1324"/>
      <c r="AG388" s="1324"/>
      <c r="AH388" s="1324"/>
    </row>
    <row r="389" spans="1:34" x14ac:dyDescent="0.25">
      <c r="A389" s="1324"/>
      <c r="B389" s="1324"/>
      <c r="C389" s="1324"/>
      <c r="D389" s="1324"/>
      <c r="E389" s="1324"/>
      <c r="F389" s="1324"/>
      <c r="G389" s="1324"/>
      <c r="H389" s="1324"/>
      <c r="I389" s="1324"/>
      <c r="J389" s="1324"/>
      <c r="K389" s="1324"/>
      <c r="L389" s="1324"/>
      <c r="M389" s="1324"/>
      <c r="N389" s="1324"/>
      <c r="O389" s="1324"/>
      <c r="P389" s="1324"/>
      <c r="Q389" s="1324"/>
      <c r="R389" s="1324"/>
      <c r="S389" s="1324"/>
      <c r="T389" s="1324"/>
      <c r="U389" s="1324"/>
      <c r="V389" s="1324"/>
      <c r="W389" s="1324"/>
      <c r="X389" s="1324"/>
      <c r="Y389" s="1324"/>
      <c r="Z389" s="1324"/>
      <c r="AA389" s="1324"/>
      <c r="AB389" s="1324"/>
      <c r="AC389" s="1324"/>
      <c r="AD389" s="1324"/>
      <c r="AE389" s="1324"/>
      <c r="AF389" s="1324"/>
      <c r="AG389" s="1324"/>
      <c r="AH389" s="1324"/>
    </row>
    <row r="390" spans="1:34" x14ac:dyDescent="0.25">
      <c r="A390" s="1324"/>
      <c r="B390" s="1324"/>
      <c r="C390" s="1324"/>
      <c r="D390" s="1324"/>
      <c r="E390" s="1324"/>
      <c r="F390" s="1324"/>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c r="AA390" s="1324"/>
      <c r="AB390" s="1324"/>
      <c r="AC390" s="1324"/>
      <c r="AD390" s="1324"/>
      <c r="AE390" s="1324"/>
      <c r="AF390" s="1324"/>
      <c r="AG390" s="1324"/>
      <c r="AH390" s="1324"/>
    </row>
    <row r="391" spans="1:34" hidden="1" x14ac:dyDescent="0.25">
      <c r="A391" s="1324"/>
      <c r="B391" s="1324"/>
      <c r="C391" s="1324"/>
      <c r="D391" s="1324"/>
      <c r="E391" s="1324"/>
      <c r="F391" s="1324"/>
      <c r="G391" s="1324"/>
      <c r="H391" s="1324"/>
      <c r="I391" s="1324"/>
      <c r="J391" s="1324"/>
      <c r="K391" s="1324"/>
      <c r="L391" s="1324"/>
      <c r="M391" s="1324"/>
      <c r="N391" s="1324"/>
      <c r="O391" s="1324"/>
      <c r="P391" s="1324"/>
      <c r="Q391" s="1324"/>
      <c r="R391" s="1324"/>
      <c r="S391" s="1324"/>
      <c r="T391" s="1324"/>
      <c r="U391" s="1324"/>
      <c r="V391" s="1324"/>
      <c r="W391" s="1324"/>
      <c r="X391" s="1324"/>
      <c r="Y391" s="1324"/>
      <c r="Z391" s="1324"/>
    </row>
    <row r="392" spans="1:34" hidden="1" x14ac:dyDescent="0.25">
      <c r="A392" s="1324"/>
      <c r="B392" s="1324"/>
      <c r="C392" s="1324"/>
      <c r="D392" s="1324"/>
      <c r="E392" s="1324"/>
      <c r="F392" s="1324"/>
      <c r="G392" s="1324"/>
      <c r="H392" s="1324"/>
      <c r="I392" s="1324"/>
      <c r="J392" s="1324"/>
      <c r="K392" s="1324"/>
      <c r="L392" s="1324"/>
      <c r="M392" s="1324"/>
      <c r="N392" s="1324"/>
      <c r="O392" s="1324"/>
      <c r="P392" s="1324"/>
      <c r="Q392" s="1324"/>
      <c r="R392" s="1324"/>
      <c r="S392" s="1324"/>
      <c r="T392" s="1324"/>
      <c r="U392" s="1324"/>
      <c r="V392" s="1324"/>
      <c r="W392" s="1324"/>
      <c r="X392" s="1324"/>
      <c r="Y392" s="1324"/>
      <c r="Z392" s="1324"/>
    </row>
    <row r="393" spans="1:34" hidden="1" x14ac:dyDescent="0.25">
      <c r="A393" s="1324"/>
      <c r="B393" s="1324"/>
      <c r="C393" s="1324"/>
      <c r="D393" s="1324"/>
      <c r="E393" s="1324"/>
      <c r="F393" s="1324"/>
      <c r="G393" s="1324"/>
      <c r="H393" s="1324"/>
      <c r="I393" s="1324"/>
      <c r="J393" s="1324"/>
      <c r="K393" s="1324"/>
      <c r="L393" s="1324"/>
      <c r="M393" s="1324"/>
      <c r="N393" s="1324"/>
      <c r="O393" s="1324"/>
      <c r="P393" s="1324"/>
      <c r="Q393" s="1324"/>
      <c r="R393" s="1324"/>
      <c r="S393" s="1324"/>
      <c r="T393" s="1324"/>
      <c r="U393" s="1324"/>
      <c r="V393" s="1324"/>
      <c r="W393" s="1324"/>
      <c r="X393" s="1324"/>
      <c r="Y393" s="1324"/>
      <c r="Z393" s="1324"/>
    </row>
    <row r="394" spans="1:34" hidden="1" x14ac:dyDescent="0.25">
      <c r="A394" s="1324"/>
      <c r="B394" s="1324"/>
      <c r="C394" s="1324"/>
      <c r="D394" s="1324"/>
      <c r="E394" s="1324"/>
      <c r="F394" s="1324"/>
      <c r="G394" s="1324"/>
      <c r="H394" s="1324"/>
      <c r="I394" s="1324"/>
      <c r="J394" s="1324"/>
      <c r="K394" s="1324"/>
      <c r="L394" s="1324"/>
      <c r="M394" s="1324"/>
      <c r="N394" s="1324"/>
      <c r="O394" s="1324"/>
      <c r="P394" s="1324"/>
      <c r="Q394" s="1324"/>
      <c r="R394" s="1324"/>
      <c r="S394" s="1324"/>
      <c r="T394" s="1324"/>
      <c r="U394" s="1324"/>
      <c r="V394" s="1324"/>
      <c r="W394" s="1324"/>
      <c r="X394" s="1324"/>
      <c r="Y394" s="1324"/>
      <c r="Z394" s="1324"/>
    </row>
    <row r="395" spans="1:34" hidden="1" x14ac:dyDescent="0.25">
      <c r="A395" s="1324"/>
      <c r="B395" s="1324"/>
      <c r="C395" s="1324"/>
      <c r="D395" s="1324"/>
      <c r="E395" s="1324"/>
      <c r="F395" s="1324"/>
      <c r="G395" s="1324"/>
      <c r="H395" s="1324"/>
      <c r="I395" s="1324"/>
      <c r="J395" s="1324"/>
      <c r="K395" s="1324"/>
      <c r="L395" s="1324"/>
      <c r="M395" s="1324"/>
      <c r="N395" s="1324"/>
      <c r="O395" s="1324"/>
      <c r="P395" s="1324"/>
      <c r="Q395" s="1324"/>
      <c r="R395" s="1324"/>
      <c r="S395" s="1324"/>
      <c r="T395" s="1324"/>
      <c r="U395" s="1324"/>
      <c r="V395" s="1324"/>
      <c r="W395" s="1324"/>
      <c r="X395" s="1324"/>
      <c r="Y395" s="1324"/>
      <c r="Z395" s="1324"/>
    </row>
    <row r="396" spans="1:34" hidden="1" x14ac:dyDescent="0.25">
      <c r="A396" s="1324"/>
      <c r="B396" s="1324"/>
      <c r="C396" s="1324"/>
      <c r="D396" s="1324"/>
      <c r="E396" s="1324"/>
      <c r="F396" s="1324"/>
      <c r="G396" s="1324"/>
      <c r="H396" s="1324"/>
      <c r="I396" s="1324"/>
      <c r="J396" s="1324"/>
      <c r="K396" s="1324"/>
      <c r="L396" s="1324"/>
      <c r="M396" s="1324"/>
      <c r="N396" s="1324"/>
      <c r="O396" s="1324"/>
      <c r="P396" s="1324"/>
      <c r="Q396" s="1324"/>
      <c r="R396" s="1324"/>
      <c r="S396" s="1324"/>
      <c r="T396" s="1324"/>
      <c r="U396" s="1324"/>
      <c r="V396" s="1324"/>
      <c r="W396" s="1324"/>
      <c r="X396" s="1324"/>
      <c r="Y396" s="1324"/>
      <c r="Z396" s="1324"/>
    </row>
    <row r="397" spans="1:34" hidden="1" x14ac:dyDescent="0.25">
      <c r="A397" s="1324"/>
      <c r="B397" s="1324"/>
      <c r="C397" s="1324"/>
      <c r="D397" s="1324"/>
      <c r="E397" s="1324"/>
      <c r="F397" s="1324"/>
      <c r="G397" s="1324"/>
      <c r="H397" s="1324"/>
      <c r="I397" s="1324"/>
      <c r="J397" s="1324"/>
      <c r="K397" s="1324"/>
      <c r="L397" s="1324"/>
      <c r="M397" s="1324"/>
      <c r="N397" s="1324"/>
      <c r="O397" s="1324"/>
      <c r="P397" s="1324"/>
      <c r="Q397" s="1324"/>
      <c r="R397" s="1324"/>
      <c r="S397" s="1324"/>
      <c r="T397" s="1324"/>
      <c r="U397" s="1324"/>
      <c r="V397" s="1324"/>
      <c r="W397" s="1324"/>
      <c r="X397" s="1324"/>
      <c r="Y397" s="1324"/>
      <c r="Z397" s="1324"/>
    </row>
    <row r="398" spans="1:34" hidden="1" x14ac:dyDescent="0.25">
      <c r="A398" s="1324"/>
      <c r="B398" s="1324"/>
      <c r="C398" s="1324"/>
      <c r="D398" s="1324"/>
      <c r="E398" s="1324"/>
      <c r="F398" s="1324"/>
      <c r="G398" s="1324"/>
      <c r="H398" s="1324"/>
      <c r="I398" s="1324"/>
      <c r="J398" s="1324"/>
      <c r="K398" s="1324"/>
      <c r="L398" s="1324"/>
      <c r="M398" s="1324"/>
      <c r="N398" s="1324"/>
      <c r="O398" s="1324"/>
      <c r="P398" s="1324"/>
      <c r="Q398" s="1324"/>
      <c r="R398" s="1324"/>
      <c r="S398" s="1324"/>
      <c r="T398" s="1324"/>
      <c r="U398" s="1324"/>
      <c r="V398" s="1324"/>
      <c r="W398" s="1324"/>
      <c r="X398" s="1324"/>
      <c r="Y398" s="1324"/>
      <c r="Z398" s="1324"/>
    </row>
    <row r="399" spans="1:34" hidden="1" x14ac:dyDescent="0.25">
      <c r="A399" s="1324"/>
      <c r="B399" s="1324"/>
      <c r="C399" s="1324"/>
      <c r="D399" s="1324"/>
      <c r="E399" s="1324"/>
      <c r="F399" s="1324"/>
      <c r="G399" s="1324"/>
      <c r="H399" s="1324"/>
      <c r="I399" s="1324"/>
      <c r="J399" s="1324"/>
      <c r="K399" s="1324"/>
      <c r="L399" s="1324"/>
      <c r="M399" s="1324"/>
      <c r="N399" s="1324"/>
      <c r="O399" s="1324"/>
      <c r="P399" s="1324"/>
      <c r="Q399" s="1324"/>
      <c r="R399" s="1324"/>
      <c r="S399" s="1324"/>
      <c r="T399" s="1324"/>
      <c r="U399" s="1324"/>
      <c r="V399" s="1324"/>
      <c r="W399" s="1324"/>
      <c r="X399" s="1324"/>
      <c r="Y399" s="1324"/>
      <c r="Z399" s="1324"/>
    </row>
    <row r="400" spans="1:34" hidden="1" x14ac:dyDescent="0.25">
      <c r="A400" s="1324"/>
      <c r="B400" s="1324"/>
      <c r="C400" s="1324"/>
      <c r="D400" s="1324"/>
      <c r="E400" s="1324"/>
      <c r="F400" s="1324"/>
      <c r="G400" s="1324"/>
      <c r="H400" s="1324"/>
      <c r="I400" s="1324"/>
      <c r="J400" s="1324"/>
      <c r="K400" s="1324"/>
      <c r="L400" s="1324"/>
      <c r="M400" s="1324"/>
      <c r="N400" s="1324"/>
      <c r="O400" s="1324"/>
      <c r="P400" s="1324"/>
      <c r="Q400" s="1324"/>
      <c r="R400" s="1324"/>
      <c r="S400" s="1324"/>
      <c r="T400" s="1324"/>
      <c r="U400" s="1324"/>
      <c r="V400" s="1324"/>
      <c r="W400" s="1324"/>
      <c r="X400" s="1324"/>
      <c r="Y400" s="1324"/>
      <c r="Z400" s="1324"/>
    </row>
    <row r="401" spans="1:26" hidden="1" x14ac:dyDescent="0.25">
      <c r="A401" s="1324"/>
      <c r="B401" s="1324"/>
      <c r="C401" s="1324"/>
      <c r="D401" s="1324"/>
      <c r="E401" s="1324"/>
      <c r="F401" s="1324"/>
      <c r="G401" s="1324"/>
      <c r="H401" s="1324"/>
      <c r="I401" s="1324"/>
      <c r="J401" s="1324"/>
      <c r="K401" s="1324"/>
      <c r="L401" s="1324"/>
      <c r="M401" s="1324"/>
      <c r="N401" s="1324"/>
      <c r="O401" s="1324"/>
      <c r="P401" s="1324"/>
      <c r="Q401" s="1324"/>
      <c r="R401" s="1324"/>
      <c r="S401" s="1324"/>
      <c r="T401" s="1324"/>
      <c r="U401" s="1324"/>
      <c r="V401" s="1324"/>
      <c r="W401" s="1324"/>
      <c r="X401" s="1324"/>
      <c r="Y401" s="1324"/>
      <c r="Z401" s="1324"/>
    </row>
    <row r="402" spans="1:26" hidden="1" x14ac:dyDescent="0.25">
      <c r="A402" s="1324"/>
      <c r="B402" s="1324"/>
      <c r="C402" s="1324"/>
      <c r="D402" s="1324"/>
      <c r="E402" s="1324"/>
      <c r="F402" s="1324"/>
      <c r="G402" s="1324"/>
      <c r="H402" s="1324"/>
      <c r="I402" s="1324"/>
      <c r="J402" s="1324"/>
      <c r="K402" s="1324"/>
      <c r="L402" s="1324"/>
      <c r="M402" s="1324"/>
      <c r="N402" s="1324"/>
      <c r="O402" s="1324"/>
      <c r="P402" s="1324"/>
      <c r="Q402" s="1324"/>
      <c r="R402" s="1324"/>
      <c r="S402" s="1324"/>
      <c r="T402" s="1324"/>
      <c r="U402" s="1324"/>
      <c r="V402" s="1324"/>
      <c r="W402" s="1324"/>
      <c r="X402" s="1324"/>
      <c r="Y402" s="1324"/>
      <c r="Z402" s="1324"/>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9">
    <mergeCell ref="C324:F324"/>
    <mergeCell ref="C183:E183"/>
    <mergeCell ref="K253:L265"/>
    <mergeCell ref="E179:E180"/>
    <mergeCell ref="C288:C289"/>
    <mergeCell ref="C287:E287"/>
    <mergeCell ref="C164:E164"/>
    <mergeCell ref="C178:E178"/>
    <mergeCell ref="C251:C252"/>
    <mergeCell ref="C191:D191"/>
    <mergeCell ref="C196:D196"/>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I151:L151"/>
    <mergeCell ref="I152:L152"/>
    <mergeCell ref="E126:E132"/>
    <mergeCell ref="C125:E125"/>
    <mergeCell ref="C133:E133"/>
    <mergeCell ref="C107:E107"/>
    <mergeCell ref="C123:E123"/>
    <mergeCell ref="C117:E117"/>
    <mergeCell ref="F126:F132"/>
    <mergeCell ref="C147:E147"/>
    <mergeCell ref="H150:L150"/>
    <mergeCell ref="E135:F135"/>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s>
  <conditionalFormatting sqref="D16">
    <cfRule type="expression" dxfId="228" priority="103">
      <formula>$D$15&lt;&gt;"выберите ниже"</formula>
    </cfRule>
  </conditionalFormatting>
  <conditionalFormatting sqref="E323">
    <cfRule type="expression" dxfId="227" priority="102">
      <formula>$E$323="Исправьте ошибки ввода"</formula>
    </cfRule>
  </conditionalFormatting>
  <conditionalFormatting sqref="E151:E156">
    <cfRule type="containsBlanks" dxfId="226" priority="97">
      <formula>LEN(TRIM(E151))=0</formula>
    </cfRule>
  </conditionalFormatting>
  <conditionalFormatting sqref="G151:G156">
    <cfRule type="containsBlanks" dxfId="225" priority="96">
      <formula>LEN(TRIM(G151))=0</formula>
    </cfRule>
  </conditionalFormatting>
  <conditionalFormatting sqref="D14 D16">
    <cfRule type="containsBlanks" dxfId="224" priority="94">
      <formula>LEN(TRIM(D14))=0</formula>
    </cfRule>
  </conditionalFormatting>
  <conditionalFormatting sqref="E54">
    <cfRule type="expression" dxfId="223" priority="90">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222" priority="89">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221" priority="88">
      <formula>LEN(TRIM(D10))=0</formula>
    </cfRule>
  </conditionalFormatting>
  <conditionalFormatting sqref="D55:D61 D63:D77">
    <cfRule type="expression" dxfId="220" priority="66">
      <formula>OR($D$42="Ориентировочный",$D$42=INDEX(SposobRascheta,3))</formula>
    </cfRule>
  </conditionalFormatting>
  <conditionalFormatting sqref="D52">
    <cfRule type="cellIs" dxfId="219" priority="64" operator="equal">
      <formula>"Введено верно"</formula>
    </cfRule>
  </conditionalFormatting>
  <conditionalFormatting sqref="D45:D48 C49:C50 C51:E51">
    <cfRule type="expression" dxfId="218" priority="65">
      <formula>AND($D$42="Ориентировочный",$D$42=INDEX(SposobRascheta,3))</formula>
    </cfRule>
    <cfRule type="expression" dxfId="217" priority="67">
      <formula>$D$42="Детальный"</formula>
    </cfRule>
  </conditionalFormatting>
  <conditionalFormatting sqref="C217 C273">
    <cfRule type="expression" dxfId="216" priority="60">
      <formula>AND($I$273&lt;&gt;"",$I$273&gt;0)</formula>
    </cfRule>
  </conditionalFormatting>
  <conditionalFormatting sqref="C218 C274">
    <cfRule type="expression" dxfId="215" priority="59">
      <formula>AND($I$274&lt;&gt;"",$I$274&gt;0)</formula>
    </cfRule>
  </conditionalFormatting>
  <conditionalFormatting sqref="C219 C275">
    <cfRule type="expression" dxfId="214" priority="57">
      <formula>AND($I$275&lt;&gt;"",$I$275&gt;0)</formula>
    </cfRule>
  </conditionalFormatting>
  <conditionalFormatting sqref="C220 C276">
    <cfRule type="expression" dxfId="213" priority="56">
      <formula>AND($I$276&lt;&gt;"",$I$276&gt;0)</formula>
    </cfRule>
  </conditionalFormatting>
  <conditionalFormatting sqref="C221 C277">
    <cfRule type="expression" dxfId="212" priority="55">
      <formula>AND($I$277&lt;&gt;"",$I$277&gt;0)</formula>
    </cfRule>
  </conditionalFormatting>
  <conditionalFormatting sqref="C222 C278">
    <cfRule type="expression" dxfId="211" priority="54">
      <formula>AND($I$278&lt;&gt;"",$I$278&gt;0)</formula>
    </cfRule>
  </conditionalFormatting>
  <conditionalFormatting sqref="C223 C279">
    <cfRule type="expression" dxfId="210" priority="53">
      <formula>AND($I$279&lt;&gt;"",$I$279&gt;0)</formula>
    </cfRule>
  </conditionalFormatting>
  <conditionalFormatting sqref="C225 C281">
    <cfRule type="expression" dxfId="209" priority="51">
      <formula>AND($I$281&lt;&gt;"",$I$281&gt;0)</formula>
    </cfRule>
  </conditionalFormatting>
  <conditionalFormatting sqref="C224 C280">
    <cfRule type="expression" dxfId="208" priority="52">
      <formula>AND($I$280&lt;&gt;"",$I$280&gt;0)</formula>
    </cfRule>
  </conditionalFormatting>
  <conditionalFormatting sqref="C226 C282">
    <cfRule type="expression" dxfId="207" priority="50">
      <formula>AND($I$282&lt;&gt;"",$I$282&gt;0)</formula>
    </cfRule>
  </conditionalFormatting>
  <conditionalFormatting sqref="C227 C283">
    <cfRule type="expression" dxfId="206" priority="49">
      <formula>AND($I$283&lt;&gt;"",$I$283&gt;0)</formula>
    </cfRule>
  </conditionalFormatting>
  <conditionalFormatting sqref="C228 C284">
    <cfRule type="expression" dxfId="205" priority="48">
      <formula>AND($I$284&lt;&gt;"",$I$284&gt;0)</formula>
    </cfRule>
  </conditionalFormatting>
  <conditionalFormatting sqref="I217:I229">
    <cfRule type="cellIs" dxfId="204" priority="47" operator="notBetween">
      <formula>10</formula>
      <formula>0.001</formula>
    </cfRule>
  </conditionalFormatting>
  <conditionalFormatting sqref="C118">
    <cfRule type="containsBlanks" dxfId="203" priority="46">
      <formula>LEN(TRIM(C118))=0</formula>
    </cfRule>
  </conditionalFormatting>
  <conditionalFormatting sqref="E273">
    <cfRule type="expression" dxfId="202" priority="40">
      <formula>IFERROR($I$273,0)=0</formula>
    </cfRule>
  </conditionalFormatting>
  <conditionalFormatting sqref="E274">
    <cfRule type="expression" dxfId="201" priority="39">
      <formula>IFERROR($I$274,0)=0</formula>
    </cfRule>
  </conditionalFormatting>
  <conditionalFormatting sqref="E275">
    <cfRule type="expression" dxfId="200" priority="38">
      <formula>IFERROR($I$275,0)=0</formula>
    </cfRule>
  </conditionalFormatting>
  <conditionalFormatting sqref="E276">
    <cfRule type="expression" dxfId="199" priority="37">
      <formula>IFERROR($I$276,0)=0</formula>
    </cfRule>
  </conditionalFormatting>
  <conditionalFormatting sqref="E277">
    <cfRule type="expression" dxfId="198" priority="36">
      <formula>IFERROR($I$277,0)=0</formula>
    </cfRule>
  </conditionalFormatting>
  <conditionalFormatting sqref="E278">
    <cfRule type="expression" dxfId="197" priority="35">
      <formula>IFERROR($I$278,0)=0</formula>
    </cfRule>
  </conditionalFormatting>
  <conditionalFormatting sqref="E279">
    <cfRule type="expression" dxfId="196" priority="34">
      <formula>IFERROR($I$279,0)=0</formula>
    </cfRule>
  </conditionalFormatting>
  <conditionalFormatting sqref="E280">
    <cfRule type="expression" dxfId="195" priority="33">
      <formula>IFERROR($I$280,0)=0</formula>
    </cfRule>
  </conditionalFormatting>
  <conditionalFormatting sqref="E281">
    <cfRule type="expression" dxfId="194" priority="32">
      <formula>IFERROR($I$281,0)=0</formula>
    </cfRule>
  </conditionalFormatting>
  <conditionalFormatting sqref="E282">
    <cfRule type="expression" dxfId="193" priority="31">
      <formula>IFERROR($I$282,0)=0</formula>
    </cfRule>
  </conditionalFormatting>
  <conditionalFormatting sqref="E283">
    <cfRule type="expression" dxfId="192" priority="30">
      <formula>IFERROR($I$283,0)=0</formula>
    </cfRule>
  </conditionalFormatting>
  <conditionalFormatting sqref="E284">
    <cfRule type="expression" dxfId="191" priority="29">
      <formula>IFERROR($I$284,0)=0</formula>
    </cfRule>
  </conditionalFormatting>
  <conditionalFormatting sqref="D208">
    <cfRule type="expression" dxfId="190" priority="28">
      <formula>AND(NOT(MATCH(D202,Months12ext,0)=1),NOT(MATCH(D202,Months12ext,0)&gt;7))</formula>
    </cfRule>
  </conditionalFormatting>
  <conditionalFormatting sqref="E206">
    <cfRule type="expression" dxfId="189" priority="27">
      <formula>MATCH(D202,Months12ext,0)&gt;7</formula>
    </cfRule>
  </conditionalFormatting>
  <conditionalFormatting sqref="G235:K248 G217:H228">
    <cfRule type="containsText" dxfId="188" priority="20" operator="containsText" text="*">
      <formula>NOT(ISERROR(SEARCH("*",G217)))</formula>
    </cfRule>
  </conditionalFormatting>
  <conditionalFormatting sqref="E236:E247">
    <cfRule type="expression" dxfId="187" priority="299">
      <formula>AND($G$142&gt;0,$G$142&lt;&gt;"")</formula>
    </cfRule>
  </conditionalFormatting>
  <conditionalFormatting sqref="I221">
    <cfRule type="expression" dxfId="186" priority="13">
      <formula>AND($I$277=0,$J$221=0)</formula>
    </cfRule>
  </conditionalFormatting>
  <conditionalFormatting sqref="I222">
    <cfRule type="expression" dxfId="185" priority="12">
      <formula>AND($I$278=0,$J$222=0)</formula>
    </cfRule>
  </conditionalFormatting>
  <conditionalFormatting sqref="I223">
    <cfRule type="expression" dxfId="184" priority="11">
      <formula>AND($I$279=0,$J$223=0)</formula>
    </cfRule>
  </conditionalFormatting>
  <conditionalFormatting sqref="I220">
    <cfRule type="expression" dxfId="183" priority="10">
      <formula>AND($I$276=0,$J$220=0)</formula>
    </cfRule>
  </conditionalFormatting>
  <conditionalFormatting sqref="I219">
    <cfRule type="expression" dxfId="182" priority="9">
      <formula>AND($I$275=0,$J$219=0)</formula>
    </cfRule>
  </conditionalFormatting>
  <conditionalFormatting sqref="I218">
    <cfRule type="expression" dxfId="181" priority="8">
      <formula>AND($I$274=0,$J$218=0)</formula>
    </cfRule>
  </conditionalFormatting>
  <conditionalFormatting sqref="I217">
    <cfRule type="expression" dxfId="180" priority="7">
      <formula>AND($I$273=0,$J$217=0)</formula>
    </cfRule>
  </conditionalFormatting>
  <conditionalFormatting sqref="I224">
    <cfRule type="expression" dxfId="179" priority="6">
      <formula>AND($I$280=0,$J$224=0)</formula>
    </cfRule>
  </conditionalFormatting>
  <conditionalFormatting sqref="I225">
    <cfRule type="expression" dxfId="178" priority="5">
      <formula>AND($I$281=0,$J$225=0)</formula>
    </cfRule>
  </conditionalFormatting>
  <conditionalFormatting sqref="I226">
    <cfRule type="expression" dxfId="177" priority="4">
      <formula>AND($I$282=0,$J$226=0)</formula>
    </cfRule>
  </conditionalFormatting>
  <conditionalFormatting sqref="I227">
    <cfRule type="expression" dxfId="176" priority="3">
      <formula>AND($I$283=0,$J$227=0)</formula>
    </cfRule>
  </conditionalFormatting>
  <conditionalFormatting sqref="I228">
    <cfRule type="expression" dxfId="175" priority="2">
      <formula>AND($I$284=0,$J$228=0)</formula>
    </cfRule>
  </conditionalFormatting>
  <conditionalFormatting sqref="I229">
    <cfRule type="expression" dxfId="174" priority="1">
      <formula>AND($I$285=0,$J$229=0)</formula>
    </cfRule>
  </conditionalFormatting>
  <dataValidations count="77">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135</xdr:row>
                    <xdr:rowOff>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57150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98" id="{EA552C4E-480B-46B2-A41F-86B9F9289122}">
            <xm:f>списки!$C$47=0</xm:f>
            <x14:dxf>
              <font>
                <color rgb="FFC0F094"/>
              </font>
            </x14:dxf>
          </x14:cfRule>
          <xm:sqref>E17:E18 E22</xm:sqref>
        </x14:conditionalFormatting>
        <x14:conditionalFormatting xmlns:xm="http://schemas.microsoft.com/office/excel/2006/main">
          <x14:cfRule type="expression" priority="78"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77"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76"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75"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74"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73"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72"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71"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70"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69"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18"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26" id="{1BF6B5FB-FE37-410D-BEDF-AD9307CAFF61}">
            <xm:f>AND($D$14=списки!$B$3,$D$42="Детальный")</xm:f>
            <x14:dxf>
              <font>
                <color auto="1"/>
              </font>
              <fill>
                <patternFill>
                  <bgColor rgb="FFCCFF99"/>
                </patternFill>
              </fill>
            </x14:dxf>
          </x14:cfRule>
          <x14:cfRule type="expression" priority="127"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62"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61"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22"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15"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17"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16"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14"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08" id="{E2707DB0-7450-40B2-9F3F-38B559BC3C1D}">
            <xm:f>'классы ЭЭ и выбросы ПГ'!$D$35=1</xm:f>
            <x14:dxf>
              <fill>
                <patternFill>
                  <bgColor theme="1"/>
                </patternFill>
              </fill>
            </x14:dxf>
          </x14:cfRule>
          <xm:sqref>C336</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zoomScaleNormal="100" workbookViewId="0">
      <pane ySplit="2" topLeftCell="A87" activePane="bottomLeft" state="frozen"/>
      <selection pane="bottomLeft" activeCell="F92" sqref="F92"/>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5769</v>
      </c>
      <c r="B1" s="2163" t="s">
        <v>2501</v>
      </c>
      <c r="C1" s="2163"/>
      <c r="D1" s="2163"/>
      <c r="E1" s="1708" t="str">
        <f ca="1">IFERROR(IF('Экономический расчет'!H33="","","Прогноз показателя экономии: "&amp;ROUND('Экономический расчет'!H33*100,2)&amp;"%."),"")</f>
        <v>Прогноз показателя экономии: 12,83%.</v>
      </c>
      <c r="F1" s="2112" t="s">
        <v>1570</v>
      </c>
      <c r="G1" s="2112"/>
      <c r="H1" s="2112"/>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60" customHeight="1" x14ac:dyDescent="0.25">
      <c r="A2" s="1275" t="s">
        <v>1687</v>
      </c>
      <c r="B2" s="50"/>
      <c r="C2" s="2139" t="s">
        <v>1416</v>
      </c>
      <c r="D2" s="2139"/>
      <c r="E2" s="1144" t="s">
        <v>1238</v>
      </c>
      <c r="F2" s="1272" t="s">
        <v>1688</v>
      </c>
      <c r="G2" s="1273" t="s">
        <v>1689</v>
      </c>
      <c r="H2" s="1274" t="s">
        <v>1328</v>
      </c>
      <c r="I2" s="1274" t="s">
        <v>1326</v>
      </c>
      <c r="J2" s="1274" t="s">
        <v>1738</v>
      </c>
      <c r="K2" s="1274" t="s">
        <v>1327</v>
      </c>
      <c r="L2" s="1144" t="s">
        <v>1239</v>
      </c>
      <c r="M2" s="50"/>
      <c r="N2" s="50"/>
      <c r="O2" s="2144" t="s">
        <v>1454</v>
      </c>
      <c r="P2" s="2145"/>
      <c r="Q2" s="2146"/>
      <c r="R2" s="2138" t="s">
        <v>1426</v>
      </c>
      <c r="S2" s="2138"/>
      <c r="T2" s="2138" t="s">
        <v>1427</v>
      </c>
      <c r="U2" s="2138"/>
      <c r="V2" s="2143" t="s">
        <v>1428</v>
      </c>
      <c r="W2" s="2143"/>
      <c r="X2" s="2138" t="s">
        <v>1433</v>
      </c>
      <c r="Y2" s="2138"/>
      <c r="Z2" s="50" t="s">
        <v>1436</v>
      </c>
      <c r="AA2" s="1145" t="s">
        <v>888</v>
      </c>
      <c r="AB2" s="2127" t="s">
        <v>890</v>
      </c>
      <c r="AC2" s="2127"/>
      <c r="AD2" s="1146" t="s">
        <v>889</v>
      </c>
      <c r="AF2" s="50"/>
      <c r="AG2" s="50"/>
      <c r="AH2" s="50"/>
      <c r="AI2" s="50"/>
      <c r="AJ2" s="50"/>
      <c r="AK2" s="50"/>
      <c r="AL2" s="50"/>
      <c r="AM2" s="50"/>
      <c r="AN2" s="50"/>
      <c r="AO2" s="50"/>
      <c r="AP2" s="50"/>
      <c r="AQ2" s="50"/>
      <c r="AR2" s="50"/>
      <c r="AS2" s="50"/>
    </row>
    <row r="3" spans="1:57" ht="20.25" customHeight="1" x14ac:dyDescent="0.25">
      <c r="A3" s="50"/>
      <c r="B3" s="50"/>
      <c r="C3" s="50"/>
      <c r="D3" s="2147" t="s">
        <v>1451</v>
      </c>
      <c r="E3" s="2147"/>
      <c r="F3" s="2147"/>
      <c r="G3" s="2147"/>
      <c r="H3" s="2147"/>
      <c r="I3" s="2147"/>
      <c r="J3" s="2147"/>
      <c r="K3" s="2147"/>
      <c r="L3" s="2147"/>
      <c r="M3" s="50"/>
      <c r="N3" s="50"/>
      <c r="O3" s="2140" t="s">
        <v>1453</v>
      </c>
      <c r="P3" s="2141"/>
      <c r="Q3" s="2142"/>
      <c r="R3" s="2138" t="s">
        <v>1426</v>
      </c>
      <c r="S3" s="2138"/>
      <c r="T3" s="2138" t="s">
        <v>1427</v>
      </c>
      <c r="U3" s="2138"/>
      <c r="V3" s="2143" t="s">
        <v>1428</v>
      </c>
      <c r="W3" s="2143"/>
      <c r="X3" s="2138" t="s">
        <v>1433</v>
      </c>
      <c r="Y3" s="2138"/>
      <c r="Z3" s="50"/>
      <c r="AA3" s="50"/>
      <c r="AB3" s="1133"/>
      <c r="AC3" s="1133"/>
      <c r="AD3" s="50"/>
      <c r="AE3" s="50"/>
      <c r="AF3" s="50"/>
      <c r="AG3" s="50"/>
      <c r="AH3" s="50"/>
      <c r="AI3" s="50"/>
      <c r="AJ3" s="50"/>
      <c r="AK3" s="50"/>
      <c r="AL3" s="50"/>
      <c r="AM3" s="50"/>
      <c r="AN3" s="50"/>
      <c r="AO3" s="50"/>
      <c r="AP3" s="50"/>
      <c r="AQ3" s="50"/>
      <c r="AR3" s="50"/>
      <c r="AS3" s="50"/>
      <c r="AV3" s="2162" t="s">
        <v>2388</v>
      </c>
      <c r="AW3" s="2162"/>
      <c r="AX3" s="2162"/>
      <c r="AY3" s="2162"/>
      <c r="AZ3" s="2162"/>
      <c r="BA3" s="2162"/>
      <c r="BB3" s="2162"/>
    </row>
    <row r="4" spans="1:57" ht="128.25" customHeight="1" x14ac:dyDescent="0.25">
      <c r="A4" s="50"/>
      <c r="B4" s="50"/>
      <c r="C4" s="2173"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24%!</v>
      </c>
      <c r="D4" s="2173"/>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73" t="str">
        <f>'Ввод исходных данных'!G236</f>
        <v>Средний на человека расход воды в сутки ниже норматива по СП 30.13330 «СНиП 2.04.01.85*» на -47%!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G4" s="2173"/>
      <c r="H4" s="2173"/>
      <c r="I4" s="2173"/>
      <c r="J4" s="2173"/>
      <c r="K4" s="2173"/>
      <c r="L4" s="1148" t="str">
        <f>'Ввод исходных данных'!I236</f>
        <v/>
      </c>
      <c r="M4" s="50"/>
      <c r="N4" s="1149"/>
      <c r="O4" s="1150" t="s">
        <v>1455</v>
      </c>
      <c r="P4" s="1150" t="s">
        <v>1456</v>
      </c>
      <c r="Q4" s="1150" t="s">
        <v>1367</v>
      </c>
      <c r="R4" s="1150" t="s">
        <v>1425</v>
      </c>
      <c r="S4" s="1150" t="s">
        <v>1424</v>
      </c>
      <c r="T4" s="1150" t="s">
        <v>1425</v>
      </c>
      <c r="U4" s="1150" t="s">
        <v>1424</v>
      </c>
      <c r="V4" s="1150" t="s">
        <v>1425</v>
      </c>
      <c r="W4" s="1150" t="s">
        <v>1424</v>
      </c>
      <c r="X4" s="1150" t="s">
        <v>1425</v>
      </c>
      <c r="Y4" s="1150" t="s">
        <v>1424</v>
      </c>
      <c r="Z4" s="50"/>
      <c r="AA4" s="50"/>
      <c r="AB4" s="1133"/>
      <c r="AC4" s="1133"/>
      <c r="AD4" s="50"/>
      <c r="AE4" s="50"/>
      <c r="AF4" s="50"/>
      <c r="AG4" s="50"/>
      <c r="AH4" s="50"/>
      <c r="AI4" s="50"/>
      <c r="AJ4" s="50"/>
      <c r="AK4" s="50"/>
      <c r="AL4" s="50"/>
      <c r="AM4" s="50"/>
      <c r="AN4" s="50"/>
      <c r="AO4" s="50"/>
      <c r="AP4" s="50"/>
      <c r="AQ4" s="50"/>
      <c r="AR4" s="50"/>
      <c r="AS4" s="50"/>
      <c r="AW4" s="51" t="s">
        <v>2370</v>
      </c>
      <c r="AY4" s="51" t="s">
        <v>2369</v>
      </c>
      <c r="AZ4" s="51" t="s">
        <v>2371</v>
      </c>
      <c r="BA4" s="51" t="s">
        <v>2372</v>
      </c>
      <c r="BB4" s="51" t="s">
        <v>2373</v>
      </c>
    </row>
    <row r="5" spans="1:57" ht="21" customHeight="1" x14ac:dyDescent="0.25">
      <c r="A5" s="50"/>
      <c r="B5" s="50"/>
      <c r="C5" s="50"/>
      <c r="D5" s="2147" t="s">
        <v>1452</v>
      </c>
      <c r="E5" s="2147"/>
      <c r="F5" s="2147"/>
      <c r="G5" s="2147"/>
      <c r="H5" s="2147"/>
      <c r="I5" s="2147"/>
      <c r="J5" s="2147"/>
      <c r="K5" s="2147"/>
      <c r="L5" s="2147"/>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3" t="s">
        <v>1883</v>
      </c>
      <c r="AZ5" s="1498" t="str">
        <f>IF(OR(BD5=INDEX(materials,        1),
                           BD5=INDEX(layer,                 1),
                           BD5=INDEX(layer15,            1),
                           BD5=INDEX(Windows,        1),
                           BD5=INDEX(AptWindow,   1),
                           BD5=INDEX(AtticMat,          1),
                           BD5=INDEX(AITPIAUU,        1),
                           BD5=INDEX(AUU,                   1),
                           BD5=INDEX(CellarMat,        1),
                           BD5=INDEX(LampsNew,     1),
                           BD5=INDEX(ОсвНар,            1)),
               "-",
               BD5)</f>
        <v>-</v>
      </c>
      <c r="BA5" s="1498" t="str">
        <f>IF(OR(BE5=INDEX(materials,        1),
                           BE5=INDEX(layer,                 1),
                           BE5=INDEX(layer15,            1),
                           BE5=INDEX(Windows,        1),
                           BE5=INDEX(AptWindow,   1),
                           BE5=INDEX(AtticMat,          1),
                           BE5=INDEX(AITPIAUU,        1),
                           BE5=INDEX(AUU,                   1),
                           BE5=INDEX(CellarMat,        1),
                           BE5=INDEX(LampsNew,     1),
                           BE5=INDEX(ОсвНар,            1)),
               "-",
               BE5)</f>
        <v>-</v>
      </c>
      <c r="BB5" s="657">
        <f>H13</f>
        <v>0</v>
      </c>
      <c r="BD5" s="1694" t="s">
        <v>746</v>
      </c>
      <c r="BE5" s="1694" t="s">
        <v>746</v>
      </c>
    </row>
    <row r="6" spans="1:57" ht="15.75" x14ac:dyDescent="0.25">
      <c r="A6" s="1152" t="str">
        <f>IF(SUM(AD8:AD81)&gt;0,"Ошибка","")</f>
        <v/>
      </c>
      <c r="B6" s="50"/>
      <c r="C6" s="1153"/>
      <c r="D6" s="1154" t="s">
        <v>857</v>
      </c>
      <c r="E6" s="1144" t="s">
        <v>1238</v>
      </c>
      <c r="F6" s="1155"/>
      <c r="G6" s="1155"/>
      <c r="H6" s="1155"/>
      <c r="I6" s="1155"/>
      <c r="J6" s="1155"/>
      <c r="K6" s="1155"/>
      <c r="L6" s="1144" t="s">
        <v>1239</v>
      </c>
      <c r="M6" s="50"/>
      <c r="N6" s="50"/>
      <c r="O6" s="1156"/>
      <c r="P6" s="1156"/>
      <c r="Q6" s="1156"/>
      <c r="R6" s="1156"/>
      <c r="S6" s="1157">
        <f ca="1">S7+S33+S38+S20+S62</f>
        <v>0.19400990592139389</v>
      </c>
      <c r="T6" s="1156"/>
      <c r="U6" s="1157">
        <f ca="1">U7+U33+U38</f>
        <v>0</v>
      </c>
      <c r="V6" s="1156"/>
      <c r="W6" s="1158">
        <f ca="1">W7+W33+W38+W20+W56+W62+W73</f>
        <v>0.13233769953791816</v>
      </c>
      <c r="X6" s="1158"/>
      <c r="Y6" s="1158">
        <f ca="1">Y56+Y73+Y33</f>
        <v>-4.9681856453448033E-2</v>
      </c>
      <c r="Z6" s="50"/>
      <c r="AA6" s="50"/>
      <c r="AB6" s="1133"/>
      <c r="AC6" s="1134"/>
      <c r="AD6" s="51">
        <f>SUM(AD8:AD81)</f>
        <v>0</v>
      </c>
      <c r="AF6" s="50"/>
      <c r="AG6" s="50"/>
      <c r="AH6" s="50"/>
      <c r="AI6" s="50"/>
      <c r="AJ6" s="50"/>
      <c r="AK6" s="50"/>
      <c r="AL6" s="50"/>
      <c r="AM6" s="50"/>
      <c r="AN6" s="50"/>
      <c r="AO6" s="50"/>
      <c r="AP6" s="50"/>
      <c r="AQ6" s="50"/>
      <c r="AR6" s="50"/>
      <c r="AS6" s="50"/>
      <c r="AU6" s="51">
        <v>5</v>
      </c>
      <c r="AV6" s="1696" t="b">
        <f>IF(AND(AB16&gt;0,AC16),TRUE,FALSE)</f>
        <v>0</v>
      </c>
      <c r="AW6" s="69" t="str">
        <f>IF(AV6,COUNTIF(AV$5:AV6,TRUE),"")</f>
        <v/>
      </c>
      <c r="AX6" s="69"/>
      <c r="AY6" s="1697" t="s">
        <v>1828</v>
      </c>
      <c r="AZ6" s="1501" t="str">
        <f>IF(OR(BD6=INDEX(materials,        1),
                           BD6=INDEX(layer,                 1),
                           BD6=INDEX(layer15,            1),
                           BD6=INDEX(Windows,        1),
                           BD6=INDEX(AptWindow,   1),
                           BD6=INDEX(AtticMat,          1),
                           BD6=INDEX(AITPIAUU,        1),
                           BD6=INDEX(AUU,                   1),
                           BD6=INDEX(CellarMat,        1),
                           BD6=INDEX(LampsNew,     1),
                           BD6=INDEX(ОсвНар,            1)),
               "-",
               BD6)</f>
        <v>-</v>
      </c>
      <c r="BA6" s="1501" t="str">
        <f>IF(OR(BE6=INDEX(materials,        1),
                           BE6=INDEX(layer,                 1),
                           BE6=INDEX(layer15,            1),
                           BE6=INDEX(Windows,        1),
                           BE6=INDEX(AptWindow,   1),
                           BE6=INDEX(AtticMat,          1),
                           BE6=INDEX(AITPIAUU,        1),
                           BE6=INDEX(AUU,                   1),
                           BE6=INDEX(CellarMat,        1),
                           BE6=INDEX(LampsNew,     1),
                           BE6=INDEX(ОсвНар,            1)),
               "-",
               BE6)</f>
        <v>-</v>
      </c>
      <c r="BB6" s="1700">
        <f>H17</f>
        <v>0</v>
      </c>
      <c r="BD6" s="60" t="str">
        <f>D17</f>
        <v>Пожалуйста, выберите конструкцию</v>
      </c>
      <c r="BE6" s="60" t="s">
        <v>746</v>
      </c>
    </row>
    <row r="7" spans="1:57" ht="15.75" x14ac:dyDescent="0.25">
      <c r="A7" s="1152" t="str">
        <f>IF(SUM(AD8:AD15)&gt;0,"Ошибка","")</f>
        <v/>
      </c>
      <c r="B7" s="50"/>
      <c r="C7" s="1153"/>
      <c r="D7" s="1154" t="s">
        <v>1370</v>
      </c>
      <c r="E7" s="1144"/>
      <c r="F7" s="1155"/>
      <c r="G7" s="1155"/>
      <c r="H7" s="1155"/>
      <c r="I7" s="1155"/>
      <c r="J7" s="1155"/>
      <c r="K7" s="1155"/>
      <c r="L7" s="1144"/>
      <c r="M7" s="50"/>
      <c r="N7" s="50"/>
      <c r="O7" s="1160">
        <f>SUM(O9,O12,O13,O14,O16)</f>
        <v>0</v>
      </c>
      <c r="P7" s="1160"/>
      <c r="Q7" s="1160"/>
      <c r="R7" s="1161">
        <f ca="1">O7/'Расчет базового уровня'!$D$35*1163</f>
        <v>0</v>
      </c>
      <c r="S7" s="1162">
        <f ca="1">R7</f>
        <v>0</v>
      </c>
      <c r="T7" s="1163"/>
      <c r="U7" s="1163"/>
      <c r="V7" s="1161">
        <f ca="1">(O7+P7)/'Расчет базового уровня'!$D$9*1163</f>
        <v>0</v>
      </c>
      <c r="W7" s="1164">
        <f ca="1">(S7*'Расчет базового уровня'!$D$35+'Список мероприятий'!U7*'Расчет базового уровня'!$D$15)/'Расчет базового уровня'!$D$9</f>
        <v>0</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698" t="b">
        <f>IF(AND(AB78&gt;0,AC78),TRUE,FALSE)</f>
        <v>0</v>
      </c>
      <c r="AW7" s="228" t="str">
        <f>IF(AV7,COUNTIF(AV$5:AV7,TRUE),"")</f>
        <v/>
      </c>
      <c r="AX7" s="228"/>
      <c r="AY7" s="1704" t="s">
        <v>1829</v>
      </c>
      <c r="AZ7" s="1495"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натриевые газоразрядные лампы (ДНаТ)</v>
      </c>
      <c r="BA7" s="1495" t="str">
        <f>IF(OR(BE7=INDEX(materials,        1),
                           BE7=INDEX(layer,                 1),
                           BE7=INDEX(layer15,            1),
                           BE7=INDEX(Windows,        1),
                           BE7=INDEX(AptWindow,   1),
                           BE7=INDEX(AtticMat,          1),
                           BE7=INDEX(AITPIAUU,        1),
                           BE7=INDEX(AUU,                   1),
                           BE7=INDEX(CellarMat,        1),
                           BE7=INDEX(LampsNew,     1),
                           BE7=INDEX(ОсвНар,            1)),
               "-",
               BE7)</f>
        <v>-</v>
      </c>
      <c r="BB7" s="1702">
        <f>H78</f>
        <v>0</v>
      </c>
      <c r="BD7" s="60" t="str">
        <f>D79</f>
        <v>натриевые газоразрядные лампы (ДНаТ)</v>
      </c>
      <c r="BE7" s="1694" t="s">
        <v>746</v>
      </c>
    </row>
    <row r="8" spans="1:57" ht="17.25" customHeight="1" x14ac:dyDescent="0.25">
      <c r="A8" s="1166" t="str">
        <f>IF(OR(AND(AA8=0,AB8=1),AND(AA8=1,AB8=0)),"Ошибка","")</f>
        <v/>
      </c>
      <c r="B8" s="50"/>
      <c r="C8" s="1167"/>
      <c r="D8" s="1168" t="s">
        <v>1267</v>
      </c>
      <c r="E8" s="2101" t="s">
        <v>1693</v>
      </c>
      <c r="F8" s="1276" t="s">
        <v>1690</v>
      </c>
      <c r="G8" s="1276" t="s">
        <v>1284</v>
      </c>
      <c r="H8" s="1276" t="s">
        <v>1283</v>
      </c>
      <c r="I8" s="1276" t="s">
        <v>1283</v>
      </c>
      <c r="J8" s="1276" t="s">
        <v>1283</v>
      </c>
      <c r="K8" s="1276" t="s">
        <v>1283</v>
      </c>
      <c r="L8" s="2129" t="s">
        <v>1420</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6" t="b">
        <f>IF(AND(AB9&gt;0,AC9),TRUE,FALSE)</f>
        <v>0</v>
      </c>
      <c r="AW8" s="69" t="str">
        <f>IF(AV8,COUNTIF(AV$5:AV8,TRUE),"")</f>
        <v/>
      </c>
      <c r="AX8" s="69" t="str">
        <f>IF(AV8,COUNTIF(AV$8:AV8,TRUE),"")</f>
        <v/>
      </c>
      <c r="AY8" s="240" t="s">
        <v>1267</v>
      </c>
      <c r="AZ8" s="1501" t="str">
        <f t="shared" ref="AZ8:AZ28" si="0">IF(OR(BD8=INDEX(materials,        1),
                           BD8=INDEX(layer,                 1),
                           BD8=INDEX(layer15,            1),
                           BD8=INDEX(Windows,        1),
                           BD8=INDEX(AptWindow,   1),
                           BD8=INDEX(AtticMat,          1),
                           BD8=INDEX(AITPIAUU,        1),
                           BD8=INDEX(AUU,                   1),
                           BD8=INDEX(CellarMat,        1),
                           BD8=INDEX(LampsNew,     1),
                           BD8=INDEX(ОсвНар,            1)),
               "-",
               BD8)</f>
        <v>-</v>
      </c>
      <c r="BA8" s="1501"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0">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1747</v>
      </c>
      <c r="E9" s="2135"/>
      <c r="F9" s="2165">
        <f>'Расчет базового уровня'!B136</f>
        <v>2066.65</v>
      </c>
      <c r="G9" s="2115"/>
      <c r="H9" s="2118">
        <f>I9+J9+K9</f>
        <v>0</v>
      </c>
      <c r="I9" s="2117"/>
      <c r="J9" s="2117">
        <f>IF(AB15=1,G9*F9,0)</f>
        <v>0</v>
      </c>
      <c r="K9" s="2117"/>
      <c r="L9" s="2130"/>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 ca="1">O9*1163/'Расчет базового уровня'!$D$35</f>
        <v>0</v>
      </c>
      <c r="S9" s="1172">
        <f ca="1">R9</f>
        <v>0</v>
      </c>
      <c r="T9" s="1151"/>
      <c r="U9" s="1151"/>
      <c r="V9" s="1171">
        <f ca="1">(O9+P9)*1163/'Расчет базового уровня'!$D$9</f>
        <v>0</v>
      </c>
      <c r="W9" s="1173">
        <f ca="1">(S9*'Расчет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6" t="b">
        <f>IF(AND(AB12&gt;0,AC12),TRUE,FALSE)</f>
        <v>0</v>
      </c>
      <c r="AW9" s="69" t="str">
        <f>IF(AV9,COUNTIF(AV$5:AV9,TRUE),"")</f>
        <v/>
      </c>
      <c r="AX9" s="69" t="str">
        <f>IF(AV9,COUNTIF(AV$8:AV9,TRUE),"")</f>
        <v/>
      </c>
      <c r="AY9" s="240" t="s">
        <v>2374</v>
      </c>
      <c r="AZ9" s="1501" t="str">
        <f t="shared" si="0"/>
        <v>-</v>
      </c>
      <c r="BA9" s="1501" t="str">
        <f>IF(OR(BE9=INDEX(materials,        1),
                           BE9=INDEX(layer,                 1),
                           BE9=INDEX(layer15,            1),
                           BE9=INDEX(Windows,        1),
                           BE9=INDEX(AptWindow,   1),
                           BE9=INDEX(AtticMat,          1),
                           BE9=INDEX(AITPIAUU,        1),
                           BE9=INDEX(AUU,                   1),
                           BE9=INDEX(CellarMat,        1),
                           BE9=INDEX(LampsNew,     1),
                           BE9=INDEX(ОсвНар,            1)),
               "-",
               BE9)</f>
        <v>-</v>
      </c>
      <c r="BB9" s="1700">
        <f>H12</f>
        <v>0</v>
      </c>
      <c r="BD9" s="1694" t="s">
        <v>746</v>
      </c>
      <c r="BE9" s="1694" t="s">
        <v>746</v>
      </c>
    </row>
    <row r="10" spans="1:57" ht="15" customHeight="1" x14ac:dyDescent="0.25">
      <c r="A10" s="1166" t="str">
        <f>IF(OR(AND(AA10=0,AB10=1),AND(AA10=1,AB10=0)),"Ошибка","")</f>
        <v/>
      </c>
      <c r="B10" s="50"/>
      <c r="C10" s="1167"/>
      <c r="D10" s="1241" t="s">
        <v>1251</v>
      </c>
      <c r="E10" s="2135"/>
      <c r="F10" s="2166"/>
      <c r="G10" s="2168"/>
      <c r="H10" s="2118"/>
      <c r="I10" s="2117"/>
      <c r="J10" s="2117"/>
      <c r="K10" s="2117"/>
      <c r="L10" s="2130"/>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6" t="b">
        <f>IF(AND(AB14&gt;0,AC14),TRUE,FALSE)</f>
        <v>0</v>
      </c>
      <c r="AW10" s="69" t="str">
        <f>IF(AV10,COUNTIF(AV$5:AV10,TRUE),"")</f>
        <v/>
      </c>
      <c r="AX10" s="69" t="str">
        <f>IF(AV10,COUNTIF(AV$8:AV10,TRUE),"")</f>
        <v/>
      </c>
      <c r="AY10" s="240" t="s">
        <v>1749</v>
      </c>
      <c r="AZ10" s="1501" t="str">
        <f t="shared" si="0"/>
        <v>-</v>
      </c>
      <c r="BA10" s="1501" t="str">
        <f>IF(OR(BE10=INDEX(materials,        1),
                           BE10=INDEX(layer,                 1),
                           BE10=INDEX(layer15,            1),
                           BE10=INDEX(Windows,        1),
                           BE10=INDEX(AptWindow,   1),
                           BE10=INDEX(AtticMat,          1),
                           BE10=INDEX(AITPIAUU,        1),
                           BE10=INDEX(AUU,                   1),
                           BE10=INDEX(CellarMat,        1),
                           BE10=INDEX(LampsNew,     1),
                           BE10=INDEX(ОсвНар,            1)),
               "-",
               BE10)</f>
        <v>-</v>
      </c>
      <c r="BB10" s="1700">
        <f>H15</f>
        <v>0</v>
      </c>
      <c r="BD10" s="60" t="str">
        <f>D15</f>
        <v>Пожалуйста, выберите конструкцию</v>
      </c>
      <c r="BE10" s="60" t="s">
        <v>746</v>
      </c>
    </row>
    <row r="11" spans="1:57" ht="15" customHeight="1" x14ac:dyDescent="0.25">
      <c r="A11" s="1166" t="str">
        <f>IF(OR(AND(AA11=0,AB11=1),AND(AA11=1,AB11=0)),"Ошибка","")</f>
        <v/>
      </c>
      <c r="B11" s="50"/>
      <c r="C11" s="1167"/>
      <c r="D11" s="1241" t="s">
        <v>1250</v>
      </c>
      <c r="E11" s="2135"/>
      <c r="F11" s="2167"/>
      <c r="G11" s="2116"/>
      <c r="H11" s="2118"/>
      <c r="I11" s="2117"/>
      <c r="J11" s="2117"/>
      <c r="K11" s="2117"/>
      <c r="L11" s="2131"/>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6" t="b">
        <f>IF(AND(AB22&gt;0,AC22),TRUE,FALSE)</f>
        <v>0</v>
      </c>
      <c r="AW11" s="69" t="str">
        <f>IF(AV11,COUNTIF(AV$5:AV11,TRUE),"")</f>
        <v/>
      </c>
      <c r="AX11" s="69" t="str">
        <f>IF(AV11,COUNTIF(AV$8:AV11,TRUE),"")</f>
        <v/>
      </c>
      <c r="AY11" s="240" t="s">
        <v>1750</v>
      </c>
      <c r="AZ11" s="1501" t="str">
        <f t="shared" si="0"/>
        <v>-</v>
      </c>
      <c r="BA11" s="1501"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0">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1748</v>
      </c>
      <c r="E12" s="2102"/>
      <c r="F12" s="1238">
        <f>F9</f>
        <v>2066.65</v>
      </c>
      <c r="G12" s="1237"/>
      <c r="H12" s="1239">
        <f>I12+J12+K12</f>
        <v>0</v>
      </c>
      <c r="I12" s="1237"/>
      <c r="J12" s="1297">
        <f>IF(AB12=1,G12*F12,0)</f>
        <v>0</v>
      </c>
      <c r="K12" s="1237"/>
      <c r="L12" s="1174" t="s">
        <v>1421</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 ca="1">O12/'Расчет базового уровня'!$D$35*1163</f>
        <v>0</v>
      </c>
      <c r="S12" s="1172">
        <f ca="1">R12</f>
        <v>0</v>
      </c>
      <c r="T12" s="1151"/>
      <c r="U12" s="1151"/>
      <c r="V12" s="1171">
        <f ca="1">(O12+P12)/'Расчет базового уровня'!$D$9*1163</f>
        <v>0</v>
      </c>
      <c r="W12" s="1173">
        <f ca="1">(S12*'Расчет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1</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6" t="b">
        <f>IF(AND(AB26&gt;0,AC26),TRUE,FALSE)</f>
        <v>0</v>
      </c>
      <c r="AW12" s="69" t="str">
        <f>IF(AV12,COUNTIF(AV$5:AV12,TRUE),"")</f>
        <v/>
      </c>
      <c r="AX12" s="69" t="str">
        <f>IF(AV12,COUNTIF(AV$8:AV12,TRUE),"")</f>
        <v/>
      </c>
      <c r="AY12" s="240" t="s">
        <v>2375</v>
      </c>
      <c r="AZ12" s="1501" t="str">
        <f t="shared" si="0"/>
        <v>-</v>
      </c>
      <c r="BA12" s="1501" t="str">
        <f>IF(OR(BE12=INDEX(materials,        1),
                           BE12=INDEX(layer,                 1),
                           BE12=INDEX(layer15,            1),
                           BE12=INDEX(Windows,        1),
                           BE12=INDEX(AptWindow,   1),
                           BE12=INDEX(AtticMat,          1),
                           BE12=INDEX(AITPIAUU,        1),
                           BE12=INDEX(AUU,                   1),
                           BE12=INDEX(CellarMat,        1),
                           BE12=INDEX(LampsNew,     1),
                           BE12=INDEX(ОсвНар,            1)),
               "-",
               BE12)</f>
        <v>-</v>
      </c>
      <c r="BB12" s="1700">
        <f>H26</f>
        <v>0</v>
      </c>
      <c r="BD12" s="1694" t="s">
        <v>746</v>
      </c>
      <c r="BE12" s="1694" t="s">
        <v>746</v>
      </c>
    </row>
    <row r="13" spans="1:57" ht="32.25" customHeight="1" x14ac:dyDescent="0.25">
      <c r="A13" s="1166" t="str">
        <f>IF(OR(AND(AA13=0,AC13=TRUE)),"Ошибка","")</f>
        <v/>
      </c>
      <c r="B13" s="50"/>
      <c r="C13" s="1167"/>
      <c r="D13" s="1168" t="s">
        <v>1883</v>
      </c>
      <c r="E13" s="1192" t="s">
        <v>1884</v>
      </c>
      <c r="F13" s="1370">
        <f>'Ввод исходных данных'!I63</f>
        <v>0</v>
      </c>
      <c r="G13" s="1369"/>
      <c r="H13" s="1368">
        <f>I13+J13+K13</f>
        <v>0</v>
      </c>
      <c r="I13" s="1369"/>
      <c r="J13" s="1369">
        <f>IF(AB13=1,G13*F13,0)</f>
        <v>0</v>
      </c>
      <c r="K13" s="1369"/>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 ca="1">O13/'Расчет базового уровня'!$D$35*1163</f>
        <v>0</v>
      </c>
      <c r="S13" s="1172">
        <f ca="1">R13</f>
        <v>0</v>
      </c>
      <c r="T13" s="1151"/>
      <c r="U13" s="1151"/>
      <c r="V13" s="1171">
        <f ca="1">(O13+P13)/'Расчет базового уровня'!$D$9*1163</f>
        <v>0</v>
      </c>
      <c r="W13" s="1173">
        <f ca="1">(S13*'Расчет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6" t="b">
        <f>IF(AND(AB29&gt;0,AC29),TRUE,FALSE)</f>
        <v>0</v>
      </c>
      <c r="AW13" s="69" t="str">
        <f>IF(AV13,COUNTIF(AV$5:AV13,TRUE),"")</f>
        <v/>
      </c>
      <c r="AX13" s="69" t="str">
        <f>IF(AV13,COUNTIF(AV$8:AV13,TRUE),"")</f>
        <v/>
      </c>
      <c r="AY13" s="240" t="s">
        <v>1268</v>
      </c>
      <c r="AZ13" s="1501" t="str">
        <f t="shared" si="0"/>
        <v>-</v>
      </c>
      <c r="BA13" s="1501"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0">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1749</v>
      </c>
      <c r="E14" s="2101" t="s">
        <v>1691</v>
      </c>
      <c r="F14" s="1276" t="s">
        <v>1285</v>
      </c>
      <c r="G14" s="1276" t="s">
        <v>1284</v>
      </c>
      <c r="H14" s="1276" t="s">
        <v>1283</v>
      </c>
      <c r="I14" s="1276" t="s">
        <v>1283</v>
      </c>
      <c r="J14" s="1276" t="s">
        <v>1283</v>
      </c>
      <c r="K14" s="1276" t="s">
        <v>1283</v>
      </c>
      <c r="L14" s="908"/>
      <c r="M14" s="50"/>
      <c r="N14" s="50"/>
      <c r="O14" s="1169">
        <f>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0</v>
      </c>
      <c r="P14" s="1169"/>
      <c r="Q14" s="1169"/>
      <c r="R14" s="1171">
        <f ca="1">O14/'Расчет базового уровня'!$D$35*1163</f>
        <v>0</v>
      </c>
      <c r="S14" s="1172">
        <f ca="1">R14</f>
        <v>0</v>
      </c>
      <c r="T14" s="1151"/>
      <c r="U14" s="1151"/>
      <c r="V14" s="1173">
        <f ca="1">(O14+P14)/'Расчет базового уровня'!$D$9*1163</f>
        <v>0</v>
      </c>
      <c r="W14" s="1173">
        <f ca="1">(S14*'Расчет базового уровня'!$D$35+'Список мероприятий'!U14*'Расчет базового уровня'!$D$15)/'Расчет базового уровня'!$D$9</f>
        <v>0</v>
      </c>
      <c r="X14" s="1173"/>
      <c r="Y14" s="1173"/>
      <c r="Z14" s="50">
        <f>IF(AB14-AA14=1,1,0)</f>
        <v>0</v>
      </c>
      <c r="AA14" s="1165">
        <v>1</v>
      </c>
      <c r="AB14" s="1137">
        <f>IF(AND(AA14=1,AC14=TRUE),1,0)</f>
        <v>0</v>
      </c>
      <c r="AC14" s="1138" t="b">
        <v>0</v>
      </c>
      <c r="AD14" s="1165">
        <f>IF(AND(AA14=1,A14="ОШИБКА"),1,0)</f>
        <v>0</v>
      </c>
      <c r="AE14" s="51" t="str">
        <f>IF(AB14=1,CONCATENATE(D14," - ",D15,CHAR(10)),"")</f>
        <v/>
      </c>
      <c r="AF14" s="50"/>
      <c r="AG14" s="50"/>
      <c r="AH14" s="50"/>
      <c r="AI14" s="50"/>
      <c r="AJ14" s="50"/>
      <c r="AK14" s="50"/>
      <c r="AL14" s="50"/>
      <c r="AM14" s="50"/>
      <c r="AN14" s="50"/>
      <c r="AO14" s="50"/>
      <c r="AP14" s="50"/>
      <c r="AQ14" s="50"/>
      <c r="AR14" s="50"/>
      <c r="AS14" s="50"/>
      <c r="AU14" s="51">
        <v>9</v>
      </c>
      <c r="AV14" s="1696" t="b">
        <f>IF(AND(AB34&gt;0,AC34),TRUE,FALSE)</f>
        <v>1</v>
      </c>
      <c r="AW14" s="69">
        <f>IF(AV14,COUNTIF(AV$5:AV14,TRUE),"")</f>
        <v>1</v>
      </c>
      <c r="AX14" s="69">
        <f>IF(AV14,COUNTIF(AV$8:AV14,TRUE),"")</f>
        <v>1</v>
      </c>
      <c r="AY14" s="240" t="s">
        <v>2381</v>
      </c>
      <c r="AZ14" s="1501"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1" t="str">
        <f t="shared" ref="BA14:BA25" si="1">IF(OR(BE14=INDEX(materials,        1),
                           BE14=INDEX(layer,                 1),
                           BE14=INDEX(layer15,            1),
                           BE14=INDEX(Windows,        1),
                           BE14=INDEX(AptWindow,   1),
                           BE14=INDEX(AtticMat,          1),
                           BE14=INDEX(AITPIAUU,        1),
                           BE14=INDEX(AUU,                   1),
                           BE14=INDEX(CellarMat,        1),
                           BE14=INDEX(LampsNew,     1),
                           BE14=INDEX(ОсвНар,            1)),
               "-",
               BE14)</f>
        <v>-</v>
      </c>
      <c r="BB14" s="1700">
        <f>H34</f>
        <v>305266.48</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
      </c>
      <c r="B15" s="50"/>
      <c r="C15" s="1167"/>
      <c r="D15" s="1243" t="s">
        <v>1253</v>
      </c>
      <c r="E15" s="2102"/>
      <c r="F15" s="1237">
        <f>'Ввод исходных данных'!G66-'Ввод исходных данных'!D34</f>
        <v>12</v>
      </c>
      <c r="G15" s="1237"/>
      <c r="H15" s="1239">
        <f>I15+J15+K15</f>
        <v>0</v>
      </c>
      <c r="I15" s="1237"/>
      <c r="J15" s="1297">
        <f>IF(AB15=1,G15*F15,0)</f>
        <v>0</v>
      </c>
      <c r="K15" s="1237"/>
      <c r="L15" s="908"/>
      <c r="M15" s="50"/>
      <c r="N15" s="50"/>
      <c r="O15" s="1169"/>
      <c r="P15" s="1169"/>
      <c r="Q15" s="1169"/>
      <c r="R15" s="1151"/>
      <c r="S15" s="1151"/>
      <c r="T15" s="1151"/>
      <c r="U15" s="1151"/>
      <c r="V15" s="1151"/>
      <c r="W15" s="1151"/>
      <c r="X15" s="1151"/>
      <c r="Y15" s="1151"/>
      <c r="Z15" s="50"/>
      <c r="AA15" s="1165">
        <f>IF(AND(AB14=1,'Ввод исходных данных'!$D$12&lt;2000),1,0)</f>
        <v>0</v>
      </c>
      <c r="AB15" s="1137">
        <f>IF(D15&lt;&gt;списки!N32,1,0)</f>
        <v>0</v>
      </c>
      <c r="AC15" s="1138"/>
      <c r="AD15" s="1165">
        <f>IF(AND(AA15=1,A15="ОШИБКА"),1,0)</f>
        <v>0</v>
      </c>
      <c r="AF15" s="50"/>
      <c r="AG15" s="50"/>
      <c r="AH15" s="50"/>
      <c r="AI15" s="50"/>
      <c r="AJ15" s="50"/>
      <c r="AK15" s="50"/>
      <c r="AL15" s="50"/>
      <c r="AM15" s="50"/>
      <c r="AN15" s="50"/>
      <c r="AO15" s="50"/>
      <c r="AP15" s="50"/>
      <c r="AQ15" s="50"/>
      <c r="AR15" s="50"/>
      <c r="AS15" s="50"/>
      <c r="AU15" s="51">
        <v>10</v>
      </c>
      <c r="AV15" s="1696" t="b">
        <f>IF(AND(AB36&gt;0,AC36),TRUE,FALSE)</f>
        <v>0</v>
      </c>
      <c r="AW15" s="69" t="str">
        <f>IF(AV15,COUNTIF(AV$5:AV15,TRUE),"")</f>
        <v/>
      </c>
      <c r="AX15" s="69" t="str">
        <f>IF(AV15,COUNTIF(AV$8:AV15,TRUE),"")</f>
        <v/>
      </c>
      <c r="AY15" s="240" t="s">
        <v>2382</v>
      </c>
      <c r="AZ15" s="1501" t="str">
        <f t="shared" si="0"/>
        <v>-</v>
      </c>
      <c r="BA15" s="1501" t="str">
        <f t="shared" si="1"/>
        <v>-</v>
      </c>
      <c r="BB15" s="1700">
        <f>H36</f>
        <v>0</v>
      </c>
      <c r="BD15" s="1694" t="s">
        <v>746</v>
      </c>
      <c r="BE15" s="1694" t="s">
        <v>746</v>
      </c>
    </row>
    <row r="16" spans="1:57" ht="32.25" customHeight="1" x14ac:dyDescent="0.25">
      <c r="A16" s="1166" t="str">
        <f>IF(AND(AA16=0,AC16=TRUE),"Ошибка","")</f>
        <v/>
      </c>
      <c r="B16" s="50"/>
      <c r="C16" s="1167"/>
      <c r="D16" s="1176" t="s">
        <v>1828</v>
      </c>
      <c r="E16" s="2101" t="s">
        <v>1691</v>
      </c>
      <c r="F16" s="1276" t="s">
        <v>1285</v>
      </c>
      <c r="G16" s="1276" t="s">
        <v>1284</v>
      </c>
      <c r="H16" s="1276" t="s">
        <v>1283</v>
      </c>
      <c r="I16" s="1276" t="s">
        <v>1283</v>
      </c>
      <c r="J16" s="1276" t="s">
        <v>1283</v>
      </c>
      <c r="K16" s="1276" t="s">
        <v>1283</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 ca="1">O16/'Расчет базового уровня'!$D$35*1163</f>
        <v>0</v>
      </c>
      <c r="S16" s="1172">
        <f ca="1">R16</f>
        <v>0</v>
      </c>
      <c r="T16" s="1151"/>
      <c r="U16" s="1151"/>
      <c r="V16" s="1173">
        <f ca="1">(O16+P16)/'Расчет базового уровня'!$D$9*1163</f>
        <v>0</v>
      </c>
      <c r="W16" s="1173">
        <f ca="1">(S16*'Расчет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6" t="b">
        <f>IF(AND(AB37&gt;0,AC37),TRUE,FALSE)</f>
        <v>0</v>
      </c>
      <c r="AW16" s="69" t="str">
        <f>IF(AV16,COUNTIF(AV$5:AV16,TRUE),"")</f>
        <v/>
      </c>
      <c r="AX16" s="69" t="str">
        <f>IF(AV16,COUNTIF(AV$8:AV16,TRUE),"")</f>
        <v/>
      </c>
      <c r="AY16" s="240" t="s">
        <v>1753</v>
      </c>
      <c r="AZ16" s="1501" t="str">
        <f t="shared" si="0"/>
        <v>-</v>
      </c>
      <c r="BA16" s="1501" t="str">
        <f t="shared" si="1"/>
        <v>-</v>
      </c>
      <c r="BB16" s="1700">
        <f>H37</f>
        <v>0</v>
      </c>
      <c r="BD16" s="1694" t="s">
        <v>746</v>
      </c>
      <c r="BE16" s="1694" t="s">
        <v>746</v>
      </c>
    </row>
    <row r="17" spans="1:57" ht="46.5" customHeight="1" x14ac:dyDescent="0.25">
      <c r="A17" s="1166" t="str">
        <f>IF(OR(AND(AA17=0,AB17=1),AND(AA17=1,AB17=0)),"Ошибка","")</f>
        <v/>
      </c>
      <c r="B17" s="50"/>
      <c r="C17" s="1167"/>
      <c r="D17" s="1243" t="s">
        <v>1253</v>
      </c>
      <c r="E17" s="2102"/>
      <c r="F17" s="1343">
        <f>'Ввод исходных данных'!D63-'Ввод исходных данных'!D33</f>
        <v>18</v>
      </c>
      <c r="G17" s="1342"/>
      <c r="H17" s="1935">
        <f>I17+J17+K17</f>
        <v>0</v>
      </c>
      <c r="I17" s="1342"/>
      <c r="J17" s="1342">
        <f>IF(AB17=1,G17*F17,0)</f>
        <v>0</v>
      </c>
      <c r="K17" s="1342"/>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6" t="b">
        <f>IF(AND(AB39&gt;0,AC39),TRUE,FALSE)</f>
        <v>0</v>
      </c>
      <c r="AW17" s="69" t="str">
        <f>IF(AV17,COUNTIF(AV$5:AV17,TRUE),"")</f>
        <v/>
      </c>
      <c r="AX17" s="69" t="str">
        <f>IF(AV17,COUNTIF(AV$8:AV17,TRUE),"")</f>
        <v/>
      </c>
      <c r="AY17" s="240" t="s">
        <v>2376</v>
      </c>
      <c r="AZ17" s="1501" t="str">
        <f t="shared" si="0"/>
        <v>-</v>
      </c>
      <c r="BA17" s="1501" t="str">
        <f t="shared" si="1"/>
        <v>-</v>
      </c>
      <c r="BB17" s="1701">
        <f>H39</f>
        <v>0</v>
      </c>
      <c r="BD17" s="1694" t="s">
        <v>746</v>
      </c>
      <c r="BE17" s="1694"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6" t="b">
        <f>IF(AND(AB40&gt;0,AC40),TRUE,FALSE)</f>
        <v>0</v>
      </c>
      <c r="AW18" s="69" t="str">
        <f>IF(AV18,COUNTIF(AV$5:AV18,TRUE),"")</f>
        <v/>
      </c>
      <c r="AX18" s="69" t="str">
        <f>IF(AV18,COUNTIF(AV$8:AV18,TRUE),"")</f>
        <v/>
      </c>
      <c r="AY18" s="240" t="s">
        <v>2377</v>
      </c>
      <c r="AZ18" s="1501" t="str">
        <f t="shared" si="0"/>
        <v>-</v>
      </c>
      <c r="BA18" s="1501" t="str">
        <f t="shared" si="1"/>
        <v>-</v>
      </c>
      <c r="BB18" s="1701">
        <f>H40</f>
        <v>0</v>
      </c>
      <c r="BD18" s="1694" t="s">
        <v>746</v>
      </c>
      <c r="BE18" s="1694"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6" t="b">
        <f>IF(AND(AB41&gt;0,AC41),TRUE,FALSE)</f>
        <v>0</v>
      </c>
      <c r="AW19" s="69" t="str">
        <f>IF(AV19,COUNTIF(AV$5:AV19,TRUE),"")</f>
        <v/>
      </c>
      <c r="AX19" s="69" t="str">
        <f>IF(AV19,COUNTIF(AV$8:AV19,TRUE),"")</f>
        <v/>
      </c>
      <c r="AY19" s="240" t="s">
        <v>1755</v>
      </c>
      <c r="AZ19" s="1501" t="str">
        <f t="shared" si="0"/>
        <v>-</v>
      </c>
      <c r="BA19" s="1501" t="str">
        <f t="shared" si="1"/>
        <v>-</v>
      </c>
      <c r="BB19" s="1700">
        <f>H41</f>
        <v>0</v>
      </c>
      <c r="BD19" s="1694" t="s">
        <v>746</v>
      </c>
      <c r="BE19" s="1694" t="s">
        <v>746</v>
      </c>
    </row>
    <row r="20" spans="1:57" ht="15.75" x14ac:dyDescent="0.25">
      <c r="A20" s="1152" t="str">
        <f>IF(SUM(AD22:AD32)&gt;0,"Ошибка","")</f>
        <v/>
      </c>
      <c r="B20" s="50"/>
      <c r="C20" s="1153"/>
      <c r="D20" s="1154" t="s">
        <v>1371</v>
      </c>
      <c r="E20" s="1144"/>
      <c r="F20" s="1155"/>
      <c r="G20" s="1155"/>
      <c r="H20" s="1155"/>
      <c r="I20" s="1155"/>
      <c r="J20" s="1155"/>
      <c r="K20" s="1155"/>
      <c r="L20" s="1144"/>
      <c r="M20" s="50"/>
      <c r="N20" s="50"/>
      <c r="O20" s="1160">
        <f>O22+O26+O29</f>
        <v>0</v>
      </c>
      <c r="P20" s="1160"/>
      <c r="Q20" s="1160"/>
      <c r="R20" s="1161">
        <f ca="1">O20/'Расчет базового уровня'!$D$35/0.86*1000</f>
        <v>0</v>
      </c>
      <c r="S20" s="1162">
        <f ca="1">R20</f>
        <v>0</v>
      </c>
      <c r="T20" s="1163"/>
      <c r="U20" s="1163"/>
      <c r="V20" s="1161">
        <f ca="1">(O20+P20)/'Расчет базового уровня'!$D$9*1163</f>
        <v>0</v>
      </c>
      <c r="W20" s="1164">
        <f ca="1">(S20*'Расчет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6" t="b">
        <f>IF(OR(AND(AB45&gt;0,AC45),AND(AB46&gt;0,AC46),AND(AB47&gt;0,AC47)),TRUE,FALSE)</f>
        <v>0</v>
      </c>
      <c r="AW20" s="69" t="str">
        <f>IF(AV20,COUNTIF(AV$5:AV20,TRUE),"")</f>
        <v/>
      </c>
      <c r="AX20" s="69" t="str">
        <f>IF(AV20,COUNTIF(AV$8:AV20,TRUE),"")</f>
        <v/>
      </c>
      <c r="AY20" s="240" t="s">
        <v>2378</v>
      </c>
      <c r="AZ20" s="1501" t="str">
        <f t="shared" si="0"/>
        <v/>
      </c>
      <c r="BA20" s="1501" t="str">
        <f t="shared" si="1"/>
        <v>-</v>
      </c>
      <c r="BB20" s="1700">
        <f>H44</f>
        <v>0</v>
      </c>
      <c r="BD20" s="60" t="str">
        <f>CONCATENATE(IF(AC45,D45,""),IF(AC46,", "&amp;D46,""),IF(AC47,", "&amp;D47,""))</f>
        <v/>
      </c>
      <c r="BE20" s="1694" t="s">
        <v>746</v>
      </c>
    </row>
    <row r="21" spans="1:57" ht="24" customHeight="1" x14ac:dyDescent="0.25">
      <c r="A21" s="1166" t="str">
        <f>IF(AND(AA21=0,AB21=1),"Ошибка","")</f>
        <v/>
      </c>
      <c r="B21" s="50"/>
      <c r="C21" s="1167"/>
      <c r="D21" s="1176"/>
      <c r="E21" s="2101" t="s">
        <v>1692</v>
      </c>
      <c r="F21" s="1276" t="s">
        <v>1690</v>
      </c>
      <c r="G21" s="1276" t="s">
        <v>1284</v>
      </c>
      <c r="H21" s="1276" t="s">
        <v>1283</v>
      </c>
      <c r="I21" s="1276" t="s">
        <v>1283</v>
      </c>
      <c r="J21" s="1276" t="s">
        <v>1283</v>
      </c>
      <c r="K21" s="1276" t="s">
        <v>1283</v>
      </c>
      <c r="L21" s="2148" t="s">
        <v>1417</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6" t="b">
        <f>IF(OR(AND(AB50&gt;0,AC50),AND(AB51&gt;0,AC51),AND(AB52&gt;0,AC52)),TRUE,FALSE)</f>
        <v>0</v>
      </c>
      <c r="AW21" s="69" t="str">
        <f>IF(AV21,COUNTIF(AV$5:AV21,TRUE),"")</f>
        <v/>
      </c>
      <c r="AX21" s="69" t="str">
        <f>IF(AV21,COUNTIF(AV$8:AV21,TRUE),"")</f>
        <v/>
      </c>
      <c r="AY21" s="240" t="s">
        <v>2379</v>
      </c>
      <c r="AZ21" s="1501" t="str">
        <f t="shared" si="0"/>
        <v/>
      </c>
      <c r="BA21" s="1501" t="str">
        <f t="shared" si="1"/>
        <v>-</v>
      </c>
      <c r="BB21" s="1700">
        <f>H49</f>
        <v>0</v>
      </c>
      <c r="BD21" s="60" t="str">
        <f>CONCATENATE(IF(AC50,D50,""),IF(AC51,IF(AC50,", ","")&amp;D51,""),IF(AC52,IF(OR(AC50,AC51),", ","")&amp;D52,""))</f>
        <v/>
      </c>
      <c r="BE21" s="1694" t="s">
        <v>746</v>
      </c>
    </row>
    <row r="22" spans="1:57" x14ac:dyDescent="0.25">
      <c r="A22" s="1166" t="str">
        <f>IF(AND(AA22=0,AC22=TRUE),"Ошибка","")</f>
        <v/>
      </c>
      <c r="B22" s="50"/>
      <c r="C22" s="1167"/>
      <c r="D22" s="1170" t="s">
        <v>1750</v>
      </c>
      <c r="E22" s="2135"/>
      <c r="F22" s="2128">
        <f>'Расчет базового уровня'!B140</f>
        <v>1110</v>
      </c>
      <c r="G22" s="2117"/>
      <c r="H22" s="2118">
        <f>I22+J22+K22</f>
        <v>0</v>
      </c>
      <c r="I22" s="2117"/>
      <c r="J22" s="2117">
        <f>IF(AB22=1,G22*F22,0)</f>
        <v>0</v>
      </c>
      <c r="K22" s="2117"/>
      <c r="L22" s="2149"/>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 ca="1">O22/'Расчет базового уровня'!$D$35/0.86*1000</f>
        <v>0</v>
      </c>
      <c r="S22" s="1172">
        <f ca="1">R22</f>
        <v>0</v>
      </c>
      <c r="T22" s="1151"/>
      <c r="U22" s="1151"/>
      <c r="V22" s="1171">
        <f ca="1">(O22+P22)/'Расчет базового уровня'!$D$9*1163</f>
        <v>0</v>
      </c>
      <c r="W22" s="1177">
        <f ca="1">(S22*'Расчет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1</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6" t="b">
        <f>IF(AND(AB54&gt;0,AC54),TRUE,FALSE)</f>
        <v>0</v>
      </c>
      <c r="AW22" s="69" t="str">
        <f>IF(AV22,COUNTIF(AV$5:AV22,TRUE),"")</f>
        <v/>
      </c>
      <c r="AX22" s="69" t="str">
        <f>IF(AV22,COUNTIF(AV$8:AV22,TRUE),"")</f>
        <v/>
      </c>
      <c r="AY22" s="240" t="s">
        <v>2380</v>
      </c>
      <c r="AZ22" s="1501" t="str">
        <f t="shared" si="0"/>
        <v>-</v>
      </c>
      <c r="BA22" s="1501" t="str">
        <f t="shared" si="1"/>
        <v>-</v>
      </c>
      <c r="BB22" s="1700">
        <f>H54</f>
        <v>0</v>
      </c>
      <c r="BD22" s="1694" t="s">
        <v>746</v>
      </c>
      <c r="BE22" s="1694" t="s">
        <v>746</v>
      </c>
    </row>
    <row r="23" spans="1:57" x14ac:dyDescent="0.25">
      <c r="A23" s="1166" t="str">
        <f>IF(OR(AND(AA23=0,AB23=1),AND(AA23=1,AB23=0)),"Ошибка","")</f>
        <v/>
      </c>
      <c r="B23" s="50"/>
      <c r="C23" s="1167"/>
      <c r="D23" s="1242" t="s">
        <v>1251</v>
      </c>
      <c r="E23" s="2135"/>
      <c r="F23" s="2117"/>
      <c r="G23" s="2117"/>
      <c r="H23" s="2118"/>
      <c r="I23" s="2117"/>
      <c r="J23" s="2117"/>
      <c r="K23" s="2117"/>
      <c r="L23" s="2149"/>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6" t="b">
        <f>IF(AND(AB57&gt;0,AC57),TRUE,FALSE)</f>
        <v>0</v>
      </c>
      <c r="AW23" s="69" t="str">
        <f>IF(AV23,COUNTIF(AV$5:AV23,TRUE),"")</f>
        <v/>
      </c>
      <c r="AX23" s="69" t="str">
        <f>IF(AV23,COUNTIF(AV$8:AV23,TRUE),"")</f>
        <v/>
      </c>
      <c r="AY23" s="240" t="s">
        <v>2383</v>
      </c>
      <c r="AZ23" s="1501" t="str">
        <f t="shared" si="0"/>
        <v>-</v>
      </c>
      <c r="BA23" s="1501" t="str">
        <f t="shared" si="1"/>
        <v>-</v>
      </c>
      <c r="BB23" s="1700">
        <f>H57</f>
        <v>0</v>
      </c>
      <c r="BD23" s="1694" t="s">
        <v>746</v>
      </c>
      <c r="BE23" s="1694" t="s">
        <v>746</v>
      </c>
    </row>
    <row r="24" spans="1:57" ht="16.5" customHeight="1" x14ac:dyDescent="0.25">
      <c r="A24" s="1166" t="str">
        <f>IF(OR(AND(AA24=0,AB24=1),AND(AA24=1,AB24=0)),"Ошибка","")</f>
        <v/>
      </c>
      <c r="B24" s="50"/>
      <c r="C24" s="1167"/>
      <c r="D24" s="1242" t="s">
        <v>1250</v>
      </c>
      <c r="E24" s="2102"/>
      <c r="F24" s="2117"/>
      <c r="G24" s="2117"/>
      <c r="H24" s="2118"/>
      <c r="I24" s="2117"/>
      <c r="J24" s="2117"/>
      <c r="K24" s="2117"/>
      <c r="L24" s="2150"/>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6" t="b">
        <f>IF(AND(AB58&gt;0,AC58),TRUE,FALSE)</f>
        <v>0</v>
      </c>
      <c r="AW24" s="69" t="str">
        <f>IF(AV24,COUNTIF(AV$5:AV24,TRUE),"")</f>
        <v/>
      </c>
      <c r="AX24" s="69" t="str">
        <f>IF(AV24,COUNTIF(AV$8:AV24,TRUE),"")</f>
        <v/>
      </c>
      <c r="AY24" s="240" t="s">
        <v>2384</v>
      </c>
      <c r="AZ24" s="1501" t="str">
        <f t="shared" si="0"/>
        <v>-</v>
      </c>
      <c r="BA24" s="1501" t="str">
        <f t="shared" si="1"/>
        <v>Мощность новых лифтов: - кВт</v>
      </c>
      <c r="BB24" s="1700">
        <f>H58</f>
        <v>0</v>
      </c>
      <c r="BD24" s="1694"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6" t="b">
        <f>IF(AND(AB60&gt;0,AC60),TRUE,FALSE)</f>
        <v>0</v>
      </c>
      <c r="AW25" s="69" t="str">
        <f>IF(AV25,COUNTIF(AV$5:AV25,TRUE),"")</f>
        <v/>
      </c>
      <c r="AX25" s="69" t="str">
        <f>IF(AV25,COUNTIF(AV$8:AV25,TRUE),"")</f>
        <v/>
      </c>
      <c r="AY25" s="240" t="s">
        <v>2385</v>
      </c>
      <c r="AZ25" s="1501" t="str">
        <f t="shared" si="0"/>
        <v>-</v>
      </c>
      <c r="BA25" s="1501" t="str">
        <f t="shared" si="1"/>
        <v>-</v>
      </c>
      <c r="BB25" s="1700">
        <f>H60</f>
        <v>0</v>
      </c>
      <c r="BD25" s="1694" t="s">
        <v>746</v>
      </c>
      <c r="BE25" s="1694" t="s">
        <v>746</v>
      </c>
    </row>
    <row r="26" spans="1:57" ht="57" customHeight="1" x14ac:dyDescent="0.25">
      <c r="A26" s="1166" t="str">
        <f>IF(AND(AA26=0,AB26=1),"Ошибка","")</f>
        <v/>
      </c>
      <c r="B26" s="50"/>
      <c r="C26" s="1167"/>
      <c r="D26" s="1179" t="s">
        <v>1751</v>
      </c>
      <c r="E26" s="1201" t="s">
        <v>1694</v>
      </c>
      <c r="F26" s="1277"/>
      <c r="G26" s="1277"/>
      <c r="H26" s="1239">
        <f>I26+J26+K26</f>
        <v>0</v>
      </c>
      <c r="I26" s="1237"/>
      <c r="J26" s="1297"/>
      <c r="K26" s="1237"/>
      <c r="L26" s="1181" t="s">
        <v>1418</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 ca="1">O26/'Расчет базового уровня'!$D$35/0.86*1000</f>
        <v>0</v>
      </c>
      <c r="S26" s="1172">
        <f ca="1">R26</f>
        <v>0</v>
      </c>
      <c r="T26" s="1151"/>
      <c r="U26" s="1151"/>
      <c r="V26" s="1171">
        <f ca="1">(O26+P26)/'Расчет базового уровня'!$D$9*1163</f>
        <v>0</v>
      </c>
      <c r="W26" s="1173">
        <f ca="1">(S26*'Расчет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0</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6" t="b">
        <f>IF(AND(AB64&gt;0,AC64),TRUE,FALSE)</f>
        <v>0</v>
      </c>
      <c r="AW26" s="69" t="str">
        <f>IF(AV26,COUNTIF(AV$5:AV26,TRUE),"")</f>
        <v/>
      </c>
      <c r="AX26" s="69" t="str">
        <f>IF(AV26,COUNTIF(AV$8:AV26,TRUE),"")</f>
        <v/>
      </c>
      <c r="AY26" s="240" t="s">
        <v>1269</v>
      </c>
      <c r="AZ26" s="1501" t="str">
        <f t="shared" si="0"/>
        <v>-</v>
      </c>
      <c r="BA26" s="1501"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0">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6" t="b">
        <f>IF(AND(AB69&gt;0,AC69),TRUE,FALSE)</f>
        <v>0</v>
      </c>
      <c r="AW27" s="69" t="str">
        <f>IF(AV27,COUNTIF(AV$5:AV27,TRUE),"")</f>
        <v/>
      </c>
      <c r="AX27" s="69" t="str">
        <f>IF(AV27,COUNTIF(AV$8:AV27,TRUE),"")</f>
        <v/>
      </c>
      <c r="AY27" s="240" t="s">
        <v>1270</v>
      </c>
      <c r="AZ27" s="1501" t="str">
        <f t="shared" si="0"/>
        <v>-</v>
      </c>
      <c r="BA27" s="1501"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0">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1268</v>
      </c>
      <c r="E28" s="2101" t="s">
        <v>1694</v>
      </c>
      <c r="F28" s="1276" t="s">
        <v>1690</v>
      </c>
      <c r="G28" s="1276" t="s">
        <v>1284</v>
      </c>
      <c r="H28" s="1276" t="s">
        <v>1283</v>
      </c>
      <c r="I28" s="1276" t="s">
        <v>1283</v>
      </c>
      <c r="J28" s="1276" t="s">
        <v>1283</v>
      </c>
      <c r="K28" s="1276" t="s">
        <v>1283</v>
      </c>
      <c r="L28" s="2129" t="s">
        <v>1419</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6" t="b">
        <f>IF(AND(AB75&gt;0,AC75),TRUE,FALSE)</f>
        <v>0</v>
      </c>
      <c r="AW28" s="69" t="str">
        <f>IF(AV28,COUNTIF(AV$5:AV28,TRUE),"")</f>
        <v/>
      </c>
      <c r="AX28" s="69" t="str">
        <f>IF(AV28,COUNTIF(AV$8:AV28,TRUE),"")</f>
        <v/>
      </c>
      <c r="AY28" s="240" t="s">
        <v>1761</v>
      </c>
      <c r="AZ28" s="1501" t="str">
        <f t="shared" si="0"/>
        <v>-</v>
      </c>
      <c r="BA28" s="1501" t="str">
        <f>IF(OR(BE28=INDEX(materials,        1),
                           BE28=INDEX(layer,                 1),
                           BE28=INDEX(layer15,            1),
                           BE28=INDEX(Windows,        1),
                           BE28=INDEX(AptWindow,   1),
                           BE28=INDEX(AtticMat,          1),
                           BE28=INDEX(AITPIAUU,        1),
                           BE28=INDEX(AUU,                   1),
                           BE28=INDEX(CellarMat,        1),
                           BE28=INDEX(LampsNew,     1),
                           BE28=INDEX(ОсвНар,            1)),
               "-",
               BE28)</f>
        <v>-</v>
      </c>
      <c r="BB28" s="1700">
        <f>H75</f>
        <v>0</v>
      </c>
      <c r="BD28" s="1694" t="s">
        <v>746</v>
      </c>
      <c r="BE28" s="1694" t="s">
        <v>746</v>
      </c>
    </row>
    <row r="29" spans="1:57" x14ac:dyDescent="0.25">
      <c r="A29" s="1166" t="str">
        <f>IF(AND(AA29=0,AC29=TRUE),"Ошибка","")</f>
        <v/>
      </c>
      <c r="B29" s="50"/>
      <c r="C29" s="1167"/>
      <c r="D29" s="1170" t="s">
        <v>1752</v>
      </c>
      <c r="E29" s="2135"/>
      <c r="F29" s="2128">
        <f>'Расчет базового уровня'!B141+'Расчет базового уровня'!B142</f>
        <v>0</v>
      </c>
      <c r="G29" s="2128"/>
      <c r="H29" s="2118">
        <f>I29+J29+K29</f>
        <v>0</v>
      </c>
      <c r="I29" s="2117"/>
      <c r="J29" s="2117">
        <f>IF(AB29=1,G29*F29,0)</f>
        <v>0</v>
      </c>
      <c r="K29" s="2117"/>
      <c r="L29" s="2130"/>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 ca="1">O29/'Расчет базового уровня'!$D$35/0.86*1000</f>
        <v>0</v>
      </c>
      <c r="S29" s="1172">
        <f ca="1">R29</f>
        <v>0</v>
      </c>
      <c r="T29" s="1151"/>
      <c r="U29" s="1151"/>
      <c r="V29" s="1171">
        <f ca="1">(O29+P29)/'Расчет базового уровня'!$D$9*1163</f>
        <v>0</v>
      </c>
      <c r="W29" s="1173">
        <f ca="1">(S29*'Расчет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0</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6" t="b">
        <f>IF(AND(AB76&gt;0,AC76),TRUE,FALSE)</f>
        <v>0</v>
      </c>
      <c r="AW29" s="69" t="str">
        <f>IF(AV29,COUNTIF(AV$5:AV29,TRUE),"")</f>
        <v/>
      </c>
      <c r="AX29" s="69" t="str">
        <f>IF(AV29,COUNTIF(AV$8:AV29,TRUE),"")</f>
        <v/>
      </c>
      <c r="AY29" s="240" t="s">
        <v>2386</v>
      </c>
      <c r="AZ29" s="1501"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1" t="str">
        <f>IF(OR(BE29=INDEX(materials,        1),
                           BE29=INDEX(layer,                 1),
                           BE29=INDEX(layer15,            1),
                           BE29=INDEX(Windows,        1),
                           BE29=INDEX(AptWindow,   1),
                           BE29=INDEX(AtticMat,          1),
                           BE29=INDEX(AITPIAUU,        1),
                           BE29=INDEX(AUU,                   1),
                           BE29=INDEX(CellarMat,        1),
                           BE29=INDEX(LampsNew,     1),
                           BE29=INDEX(ОсвНар,            1)),
               "-",
               BE29)</f>
        <v>-</v>
      </c>
      <c r="BB29" s="1700">
        <f>H76</f>
        <v>0</v>
      </c>
      <c r="BD29" s="60" t="str">
        <f>D77</f>
        <v>светодиодные осветительные приборы</v>
      </c>
      <c r="BE29" s="1694" t="s">
        <v>746</v>
      </c>
    </row>
    <row r="30" spans="1:57" x14ac:dyDescent="0.25">
      <c r="A30" s="1166" t="str">
        <f>IF(OR(AND(AA30=0,AB30=1),AND(AA30=1,AB30=0)),"Ошибка","")</f>
        <v/>
      </c>
      <c r="B30" s="50"/>
      <c r="C30" s="1167"/>
      <c r="D30" s="1241" t="s">
        <v>1251</v>
      </c>
      <c r="E30" s="2135"/>
      <c r="F30" s="2117"/>
      <c r="G30" s="2117"/>
      <c r="H30" s="2118"/>
      <c r="I30" s="2117"/>
      <c r="J30" s="2117"/>
      <c r="K30" s="2117"/>
      <c r="L30" s="2130"/>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698" t="b">
        <f>IF(AND(AB80&gt;0,AC80),TRUE,FALSE)</f>
        <v>0</v>
      </c>
      <c r="AW30" s="228" t="str">
        <f>IF(AV30,COUNTIF(AV$5:AV30,TRUE),"")</f>
        <v/>
      </c>
      <c r="AX30" s="228" t="str">
        <f>IF(AV30,COUNTIF(AV$8:AV30,TRUE),"")</f>
        <v/>
      </c>
      <c r="AY30" s="1699" t="s">
        <v>2387</v>
      </c>
      <c r="AZ30" s="1495" t="str">
        <f>IF(OR(BD30=INDEX(materials,        1),
                           BD30=INDEX(layer,                 1),
                           BD30=INDEX(layer15,            1),
                           BD30=INDEX(Windows,        1),
                           BD30=INDEX(AptWindow,   1),
                           BD30=INDEX(AtticMat,          1),
                           BD30=INDEX(AITPIAUU,        1),
                           BD30=INDEX(AUU,                   1),
                           BD30=INDEX(CellarMat,        1),
                           BD30=INDEX(LampsNew,     1),
                           BD30=INDEX(ОсвНар,            1)),
               "-",
               BD30)</f>
        <v>-</v>
      </c>
      <c r="BA30" s="1495" t="str">
        <f>IF(OR(BE30=INDEX(materials,        1),
                           BE30=INDEX(layer,                 1),
                           BE30=INDEX(layer15,            1),
                           BE30=INDEX(Windows,        1),
                           BE30=INDEX(AptWindow,   1),
                           BE30=INDEX(AtticMat,          1),
                           BE30=INDEX(AITPIAUU,        1),
                           BE30=INDEX(AUU,                   1),
                           BE30=INDEX(CellarMat,        1),
                           BE30=INDEX(LampsNew,     1),
                           BE30=INDEX(ОсвНар,            1)),
               "-",
               BE30)</f>
        <v>-</v>
      </c>
      <c r="BB30" s="1702">
        <f>H80</f>
        <v>0</v>
      </c>
      <c r="BD30" s="1694" t="s">
        <v>746</v>
      </c>
      <c r="BE30" s="1694" t="s">
        <v>746</v>
      </c>
    </row>
    <row r="31" spans="1:57" ht="15.6" customHeight="1" x14ac:dyDescent="0.25">
      <c r="A31" s="1166" t="str">
        <f>IF(OR(AND(AA31=0,AB31=1),AND(AA31=1,AB31=0)),"Ошибка","")</f>
        <v/>
      </c>
      <c r="B31" s="50"/>
      <c r="C31" s="1167"/>
      <c r="D31" s="1241" t="s">
        <v>1250</v>
      </c>
      <c r="E31" s="2102"/>
      <c r="F31" s="2117"/>
      <c r="G31" s="2117"/>
      <c r="H31" s="2118"/>
      <c r="I31" s="2117"/>
      <c r="J31" s="2117"/>
      <c r="K31" s="2117"/>
      <c r="L31" s="2131"/>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305266.48</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305266.48</v>
      </c>
    </row>
    <row r="33" spans="1:54" ht="30" x14ac:dyDescent="0.25">
      <c r="A33" s="1182" t="str">
        <f>IF(SUM(AD34:AD37)&gt;0,"Ошибка","")</f>
        <v/>
      </c>
      <c r="B33" s="50"/>
      <c r="C33" s="1183"/>
      <c r="D33" s="1184" t="s">
        <v>1256</v>
      </c>
      <c r="E33" s="1183"/>
      <c r="F33" s="1276" t="s">
        <v>853</v>
      </c>
      <c r="G33" s="1276" t="s">
        <v>1284</v>
      </c>
      <c r="H33" s="1276" t="s">
        <v>1283</v>
      </c>
      <c r="I33" s="1276" t="s">
        <v>1283</v>
      </c>
      <c r="J33" s="1276" t="s">
        <v>1283</v>
      </c>
      <c r="K33" s="1276" t="s">
        <v>1283</v>
      </c>
      <c r="L33" s="1183"/>
      <c r="M33" s="50"/>
      <c r="N33" s="50"/>
      <c r="O33" s="1185"/>
      <c r="P33" s="1185"/>
      <c r="Q33" s="1185">
        <f ca="1">Q34</f>
        <v>-1135.5285111000082</v>
      </c>
      <c r="R33" s="1186">
        <f ca="1">R34+R36+R37</f>
        <v>0.19400990592139389</v>
      </c>
      <c r="S33" s="1186">
        <f ca="1">S34+S36+S37</f>
        <v>0.19400990592139389</v>
      </c>
      <c r="T33" s="1187"/>
      <c r="U33" s="1186">
        <f ca="1">U34+U36+U37</f>
        <v>0</v>
      </c>
      <c r="V33" s="1187"/>
      <c r="W33" s="1186">
        <f ca="1">W34+W36+W37</f>
        <v>0.13233769953791816</v>
      </c>
      <c r="X33" s="1186">
        <f ca="1">X34</f>
        <v>-4.9681856453448033E-2</v>
      </c>
      <c r="Y33" s="1186">
        <f ca="1">Y34</f>
        <v>-4.9681856453448033E-2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2023</v>
      </c>
      <c r="E34" s="2158" t="s">
        <v>1695</v>
      </c>
      <c r="F34" s="2117">
        <v>1</v>
      </c>
      <c r="G34" s="2154">
        <v>305266.48</v>
      </c>
      <c r="H34" s="2118">
        <f>I34+J34+K34</f>
        <v>305266.48</v>
      </c>
      <c r="I34" s="2117"/>
      <c r="J34" s="2117">
        <f>IF(AB34=1,G34*F34,0)</f>
        <v>305266.48</v>
      </c>
      <c r="K34" s="2117"/>
      <c r="L34" s="2172" t="s">
        <v>1543</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177.16577187939257</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-1135.5285111000082</v>
      </c>
      <c r="R34" s="1171">
        <f ca="1">O34/'Расчет базового уровня'!$D$35*1163</f>
        <v>0.19400990592139389</v>
      </c>
      <c r="S34" s="1172">
        <f ca="1">R34</f>
        <v>0.19400990592139389</v>
      </c>
      <c r="T34" s="1171">
        <f ca="1">IF('Система ГВС'!F3=2,0,P34/'Расчет базового уровня'!$D$85*1163)</f>
        <v>0</v>
      </c>
      <c r="U34" s="1172">
        <f ca="1">T34*(1-U41)</f>
        <v>0</v>
      </c>
      <c r="V34" s="1171">
        <f ca="1">(O34+P34)/'Расчет базового уровня'!$D$9*1163</f>
        <v>0.13233769953791816</v>
      </c>
      <c r="W34" s="1173">
        <f ca="1">(S34*'Расчет базового уровня'!$D$35+'Список мероприятий'!U34*'Расчет базового уровня'!$D$15)/'Расчет базового уровня'!$D$9</f>
        <v>0.13233769953791816</v>
      </c>
      <c r="X34" s="1171">
        <f ca="1">Q34/'Расчет базового уровня'!$D$100</f>
        <v>-4.9681856453448033E-2</v>
      </c>
      <c r="Y34" s="1173">
        <f ca="1">X34</f>
        <v>-4.9681856453448033E-2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6" t="str">
        <f>IF(AB34=1,"Выберите тип узла","")</f>
        <v>Выберите тип узла</v>
      </c>
      <c r="D35" s="1240" t="s">
        <v>1248</v>
      </c>
      <c r="E35" s="2159"/>
      <c r="F35" s="2117"/>
      <c r="G35" s="2154"/>
      <c r="H35" s="2118"/>
      <c r="I35" s="2117"/>
      <c r="J35" s="2117"/>
      <c r="K35" s="2117"/>
      <c r="L35" s="2137"/>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1766</v>
      </c>
      <c r="E36" s="1192" t="s">
        <v>1422</v>
      </c>
      <c r="F36" s="1237"/>
      <c r="G36" s="1237"/>
      <c r="H36" s="1239">
        <f>I36+J36+K36</f>
        <v>0</v>
      </c>
      <c r="I36" s="1237"/>
      <c r="J36" s="1237"/>
      <c r="K36" s="1237"/>
      <c r="L36" s="1193" t="s">
        <v>1696</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 ca="1">IF('Система ГВС'!F3=2,0,P36/'Расчет базового уровня'!$D$85*1163)</f>
        <v>0</v>
      </c>
      <c r="U36" s="1172">
        <f ca="1">T36</f>
        <v>0</v>
      </c>
      <c r="V36" s="1171">
        <f ca="1">(O36+P36)/'Расчет базового уровня'!$D$9/0.86*1000</f>
        <v>0</v>
      </c>
      <c r="W36" s="1173">
        <f ca="1">(S36*'Расчет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1753</v>
      </c>
      <c r="E37" s="1192" t="s">
        <v>1423</v>
      </c>
      <c r="F37" s="1237">
        <v>1</v>
      </c>
      <c r="G37" s="1237"/>
      <c r="H37" s="1336">
        <f>I37+J37+K37</f>
        <v>0</v>
      </c>
      <c r="I37" s="1237"/>
      <c r="J37" s="1237">
        <f>F37*G37</f>
        <v>0</v>
      </c>
      <c r="K37" s="1237"/>
      <c r="L37" s="1193" t="s">
        <v>1697</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 ca="1">IF('Система ГВС'!F3=2,0,P37/'Расчет базового уровня'!$D$85*1163)</f>
        <v>0</v>
      </c>
      <c r="U37" s="1172">
        <f ca="1">T37</f>
        <v>0</v>
      </c>
      <c r="V37" s="1171">
        <f ca="1">(O37+P37)/'Расчет базового уровня'!$D$9/0.86*1000</f>
        <v>0</v>
      </c>
      <c r="W37" s="1173">
        <f ca="1">(S37*'Расчет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1387</v>
      </c>
      <c r="E38" s="1183"/>
      <c r="F38" s="1196"/>
      <c r="G38" s="1196"/>
      <c r="H38" s="1196"/>
      <c r="I38" s="1196"/>
      <c r="J38" s="1196"/>
      <c r="K38" s="1196"/>
      <c r="L38" s="1183"/>
      <c r="M38" s="50"/>
      <c r="N38" s="50"/>
      <c r="O38" s="1185"/>
      <c r="P38" s="1185"/>
      <c r="Q38" s="1185"/>
      <c r="R38" s="1187"/>
      <c r="S38" s="1197">
        <f ca="1">S39+S40+S41</f>
        <v>0</v>
      </c>
      <c r="T38" s="1187"/>
      <c r="U38" s="1197">
        <f ca="1">U39+U40+U41</f>
        <v>0</v>
      </c>
      <c r="V38" s="1187"/>
      <c r="W38" s="1197">
        <f ca="1">W39+W40+W41</f>
        <v>0</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1271</v>
      </c>
      <c r="E39" s="1192" t="s">
        <v>1699</v>
      </c>
      <c r="F39" s="1238"/>
      <c r="G39" s="1237"/>
      <c r="H39" s="1278">
        <f>I39+J39+K39</f>
        <v>0</v>
      </c>
      <c r="I39" s="1238"/>
      <c r="J39" s="1335">
        <f>IF(AB39=1,G39*F39,0)</f>
        <v>0</v>
      </c>
      <c r="K39" s="1238"/>
      <c r="L39" s="908"/>
      <c r="M39" s="50"/>
      <c r="N39" s="50"/>
      <c r="O39" s="1169">
        <f>IF(AB39=1,('Расчет базового уровня'!D160-'Расчет после реализации'!D160)*'Расчет базового уровня'!D13,0)</f>
        <v>0</v>
      </c>
      <c r="P39" s="1199"/>
      <c r="Q39" s="1199"/>
      <c r="R39" s="1173">
        <f ca="1">O39/'Расчет базового уровня'!$D$35/0.86*1000</f>
        <v>0</v>
      </c>
      <c r="S39" s="1173">
        <f ca="1">R39*(1-R33-S20-S7-S62-S73)</f>
        <v>0</v>
      </c>
      <c r="T39" s="1151"/>
      <c r="U39" s="1151"/>
      <c r="V39" s="1171">
        <f ca="1">(O39+P39)/'Расчет базового уровня'!$D$9/0.86*1000</f>
        <v>0</v>
      </c>
      <c r="W39" s="1173">
        <f ca="1">(S39*'Расчет базового уровня'!$D$35+'Список мероприятий'!U39*'Расчет базового уровня'!$D$15)/'Расчет базового уровня'!$D$9</f>
        <v>0</v>
      </c>
      <c r="X39" s="1173"/>
      <c r="Y39" s="1173"/>
      <c r="Z39" s="50">
        <f>IF(AB39-AA39=1,1,0)</f>
        <v>0</v>
      </c>
      <c r="AA39" s="1165">
        <v>1</v>
      </c>
      <c r="AB39" s="1137">
        <f>IF(AC39=TRUE,1,0)</f>
        <v>0</v>
      </c>
      <c r="AC39" s="1138" t="b">
        <v>0</v>
      </c>
      <c r="AD39" s="1165">
        <f>IF(AND(AA39=1,A39="ОШИБКА"),1,0)</f>
        <v>0</v>
      </c>
      <c r="AE39" s="51" t="str">
        <f>IF(AB39=1,CONCATENATE(D39,CHAR(10)),"")</f>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1754</v>
      </c>
      <c r="E40" s="1192" t="s">
        <v>1700</v>
      </c>
      <c r="F40" s="1237"/>
      <c r="G40" s="1237"/>
      <c r="H40" s="1278">
        <f>I40+J40+K40</f>
        <v>0</v>
      </c>
      <c r="I40" s="1238"/>
      <c r="J40" s="1342">
        <f>IF(AB40=1,G40*F40,0)</f>
        <v>0</v>
      </c>
      <c r="K40" s="1238"/>
      <c r="L40" s="908"/>
      <c r="M40" s="50"/>
      <c r="N40" s="50"/>
      <c r="O40" s="1169"/>
      <c r="P40" s="1169">
        <f>IF(AB40=1,-'Расчет базового уровня'!D85*(1+'Расчет после реализации'!D176)/(1+'Расчет базового уровня'!D178)+'Расчет базового уровня'!D85,0)*0.86/1000</f>
        <v>0</v>
      </c>
      <c r="Q40" s="1169"/>
      <c r="R40" s="1171"/>
      <c r="S40" s="1171"/>
      <c r="T40" s="1171">
        <f ca="1">IF('Система ГВС'!F3=2,0,P40/'Расчет базового уровня'!$D$85/0.86*1000)</f>
        <v>0</v>
      </c>
      <c r="U40" s="1171">
        <f ca="1">IF('Система ГВС'!F3=2,0,T40*(1-T34-T41))</f>
        <v>0</v>
      </c>
      <c r="V40" s="1171">
        <f ca="1">(O40+P40)/'Расчет базового уровня'!$D$9/0.86*1000</f>
        <v>0</v>
      </c>
      <c r="W40" s="1173">
        <f ca="1">(S40*'Расчет базового уровня'!$D$35+'Список мероприятий'!U40*'Расчет базового уровня'!$D$15)/'Расчет базового уровня'!$D$9</f>
        <v>0</v>
      </c>
      <c r="X40" s="1173"/>
      <c r="Y40" s="1173"/>
      <c r="Z40" s="50">
        <f>IF(AB40-AA40=1,1,0)</f>
        <v>0</v>
      </c>
      <c r="AA40" s="1165">
        <f>IF(AND('Система ГВС'!$F$3=1),1,0)</f>
        <v>1</v>
      </c>
      <c r="AB40" s="1137">
        <f>IF(AND(AA40=1,AC40=TRUE),1,0)</f>
        <v>0</v>
      </c>
      <c r="AC40" s="1138" t="b">
        <v>0</v>
      </c>
      <c r="AD40" s="1165">
        <f>IF(AND(AA40=1,A40="ОШИБКА"),1,0)</f>
        <v>0</v>
      </c>
      <c r="AE40" s="51" t="str">
        <f>IF(AB40=1,CONCATENATE(D40,CHAR(10)),"")</f>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1755</v>
      </c>
      <c r="E41" s="1201" t="s">
        <v>1255</v>
      </c>
      <c r="F41" s="1237"/>
      <c r="G41" s="1237"/>
      <c r="H41" s="1239">
        <f>I41+J41+K41</f>
        <v>0</v>
      </c>
      <c r="I41" s="1237"/>
      <c r="J41" s="1237">
        <f>IF(AB41=1,G41*F41,0)</f>
        <v>0</v>
      </c>
      <c r="K41" s="1237"/>
      <c r="L41" s="1193" t="s">
        <v>1718</v>
      </c>
      <c r="M41" s="50"/>
      <c r="N41" s="50"/>
      <c r="O41" s="1169"/>
      <c r="P41" s="1169">
        <f>IF(AB41=1,'Расчет базового уровня'!D85*0.1-'Расчет после реализации'!D180/0.86*1000,0)*0.86/1000</f>
        <v>0</v>
      </c>
      <c r="Q41" s="1169"/>
      <c r="R41" s="1171"/>
      <c r="S41" s="1172"/>
      <c r="T41" s="1171">
        <f ca="1">IF('Система ГВС'!F3=2,0,P41/'Расчет базового уровня'!$D$85/0.86*1000)</f>
        <v>0</v>
      </c>
      <c r="U41" s="1171">
        <f ca="1">T41</f>
        <v>0</v>
      </c>
      <c r="V41" s="1171">
        <f ca="1">(O41+P41)/'Расчет базового уровня'!$D$9/0.86*1000</f>
        <v>0</v>
      </c>
      <c r="W41" s="1173">
        <f ca="1">(S41*'Расчет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0</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1485</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f>'Ввод исходных данных'!G60+'Серии планировка'!AB76</f>
        <v>222.65</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1257</v>
      </c>
      <c r="E44" s="1279" t="s">
        <v>1698</v>
      </c>
      <c r="F44" s="1237"/>
      <c r="G44" s="1237"/>
      <c r="H44" s="1239">
        <f>H45+H46+H47</f>
        <v>0</v>
      </c>
      <c r="I44" s="1237"/>
      <c r="J44" s="1934">
        <f>IF(AB44=1,G44*F44,0)</f>
        <v>0</v>
      </c>
      <c r="K44" s="1237"/>
      <c r="L44" s="2109" t="s">
        <v>1719</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1311</v>
      </c>
      <c r="E45" s="1207"/>
      <c r="F45" s="1237"/>
      <c r="G45" s="1237"/>
      <c r="H45" s="1307">
        <f>I45+J45+K45</f>
        <v>0</v>
      </c>
      <c r="I45" s="1237"/>
      <c r="J45" s="1934">
        <f t="shared" ref="J45:J54" si="2">IF(AB45=1,G45*F45,0)</f>
        <v>0</v>
      </c>
      <c r="K45" s="1237"/>
      <c r="L45" s="2110"/>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7">
        <f>I46+J46+K46</f>
        <v>0</v>
      </c>
      <c r="I46" s="1237"/>
      <c r="J46" s="1934">
        <f t="shared" si="2"/>
        <v>0</v>
      </c>
      <c r="K46" s="1237"/>
      <c r="L46" s="2110"/>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1312</v>
      </c>
      <c r="E47" s="1207"/>
      <c r="F47" s="1237"/>
      <c r="G47" s="1237"/>
      <c r="H47" s="1307">
        <f>I47+J47+K47</f>
        <v>0</v>
      </c>
      <c r="I47" s="1237"/>
      <c r="J47" s="1934">
        <f t="shared" si="2"/>
        <v>0</v>
      </c>
      <c r="K47" s="1237"/>
      <c r="L47" s="2111"/>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1342</v>
      </c>
      <c r="E49" s="1279" t="s">
        <v>1698</v>
      </c>
      <c r="F49" s="1237"/>
      <c r="G49" s="1237"/>
      <c r="H49" s="1307">
        <f>H50+H51+H52</f>
        <v>0</v>
      </c>
      <c r="I49" s="1237"/>
      <c r="J49" s="1934">
        <f t="shared" si="2"/>
        <v>0</v>
      </c>
      <c r="K49" s="1237"/>
      <c r="L49" s="2169" t="s">
        <v>1720</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1311</v>
      </c>
      <c r="E50" s="1207"/>
      <c r="F50" s="1237"/>
      <c r="G50" s="1237"/>
      <c r="H50" s="1307">
        <f>I50+J50+K50</f>
        <v>0</v>
      </c>
      <c r="I50" s="1237"/>
      <c r="J50" s="1934">
        <f t="shared" si="2"/>
        <v>0</v>
      </c>
      <c r="K50" s="1237"/>
      <c r="L50" s="2170"/>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7">
        <f>I51+J51+K51</f>
        <v>0</v>
      </c>
      <c r="I51" s="1237"/>
      <c r="J51" s="1934">
        <f t="shared" si="2"/>
        <v>0</v>
      </c>
      <c r="K51" s="1237"/>
      <c r="L51" s="2170"/>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1312</v>
      </c>
      <c r="E52" s="1207"/>
      <c r="F52" s="1237"/>
      <c r="G52" s="1237"/>
      <c r="H52" s="1307">
        <f>I52+J52+K52</f>
        <v>0</v>
      </c>
      <c r="I52" s="1237"/>
      <c r="J52" s="1934">
        <f t="shared" si="2"/>
        <v>0</v>
      </c>
      <c r="K52" s="1237"/>
      <c r="L52" s="2171"/>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1756</v>
      </c>
      <c r="E54" s="1192" t="s">
        <v>1274</v>
      </c>
      <c r="F54" s="1237"/>
      <c r="G54" s="1237"/>
      <c r="H54" s="1307">
        <f>I54+J54+K54</f>
        <v>0</v>
      </c>
      <c r="I54" s="1237"/>
      <c r="J54" s="1934">
        <f t="shared" si="2"/>
        <v>0</v>
      </c>
      <c r="K54" s="1237"/>
      <c r="L54" s="1193" t="s">
        <v>1431</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2" t="s">
        <v>1388</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1757</v>
      </c>
      <c r="E57" s="2101" t="s">
        <v>1701</v>
      </c>
      <c r="F57" s="1244"/>
      <c r="G57" s="1244"/>
      <c r="H57" s="1307">
        <f>I57+J57+K57</f>
        <v>0</v>
      </c>
      <c r="I57" s="1244"/>
      <c r="J57" s="1934">
        <f t="shared" ref="J57" si="3">IF(AB57=1,G57*F57,0)</f>
        <v>0</v>
      </c>
      <c r="K57" s="1244"/>
      <c r="L57" s="2133" t="s">
        <v>1258</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0</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1758</v>
      </c>
      <c r="E58" s="2102"/>
      <c r="F58" s="2115"/>
      <c r="G58" s="2115"/>
      <c r="H58" s="2119">
        <f>I58+J58+K58</f>
        <v>0</v>
      </c>
      <c r="I58" s="2115"/>
      <c r="J58" s="2115">
        <f>IF(AB58=1,G58*F58,0)</f>
        <v>0</v>
      </c>
      <c r="K58" s="2115"/>
      <c r="L58" s="2134"/>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0</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0" t="s">
        <v>1706</v>
      </c>
      <c r="D59" s="1281"/>
      <c r="E59" s="1207" t="s">
        <v>1721</v>
      </c>
      <c r="F59" s="2116"/>
      <c r="G59" s="2116"/>
      <c r="H59" s="2120"/>
      <c r="I59" s="2116"/>
      <c r="J59" s="2116"/>
      <c r="K59" s="2116"/>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1759</v>
      </c>
      <c r="E60" s="1192" t="s">
        <v>1274</v>
      </c>
      <c r="F60" s="1236"/>
      <c r="G60" s="1236"/>
      <c r="H60" s="1307">
        <f>I60+J60+K60</f>
        <v>0</v>
      </c>
      <c r="I60" s="1236"/>
      <c r="J60" s="1934">
        <f t="shared" ref="J60" si="4">IF(AB60=1,G60*F60,0)</f>
        <v>0</v>
      </c>
      <c r="K60" s="1236"/>
      <c r="L60" s="1193" t="s">
        <v>1432</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0</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1386</v>
      </c>
      <c r="E62" s="1144"/>
      <c r="F62" s="1155"/>
      <c r="G62" s="1155"/>
      <c r="H62" s="1155"/>
      <c r="I62" s="1155"/>
      <c r="J62" s="1155"/>
      <c r="K62" s="1155"/>
      <c r="L62" s="1144"/>
      <c r="M62" s="50"/>
      <c r="N62" s="50"/>
      <c r="O62" s="1160">
        <f>O64+O69</f>
        <v>0</v>
      </c>
      <c r="P62" s="1160"/>
      <c r="Q62" s="1160"/>
      <c r="R62" s="1161">
        <f ca="1">O62/'Расчет базового уровня'!$D$35/0.86*1000</f>
        <v>0</v>
      </c>
      <c r="S62" s="1162">
        <f ca="1">R62</f>
        <v>0</v>
      </c>
      <c r="T62" s="1163"/>
      <c r="U62" s="1163"/>
      <c r="V62" s="1161">
        <f ca="1">(O62+P62)/'Расчет базового уровня'!$D$9/0.86*1000</f>
        <v>0</v>
      </c>
      <c r="W62" s="1164">
        <f ca="1">(S62*'Расчет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1269</v>
      </c>
      <c r="E63" s="2101" t="s">
        <v>1702</v>
      </c>
      <c r="F63" s="1276" t="s">
        <v>1690</v>
      </c>
      <c r="G63" s="1276" t="s">
        <v>1284</v>
      </c>
      <c r="H63" s="1276" t="s">
        <v>1283</v>
      </c>
      <c r="I63" s="1276" t="s">
        <v>1283</v>
      </c>
      <c r="J63" s="1276" t="s">
        <v>1283</v>
      </c>
      <c r="K63" s="1276" t="s">
        <v>1283</v>
      </c>
      <c r="L63" s="2133" t="s">
        <v>1372</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1760</v>
      </c>
      <c r="E64" s="2135"/>
      <c r="F64" s="2128">
        <f>'Расчет базового уровня'!B143</f>
        <v>0</v>
      </c>
      <c r="G64" s="2128"/>
      <c r="H64" s="2118">
        <f>I64+J64+K64</f>
        <v>0</v>
      </c>
      <c r="I64" s="2117"/>
      <c r="J64" s="2117">
        <f>IF(AB64=1,G64*F64,0)</f>
        <v>0</v>
      </c>
      <c r="K64" s="2117"/>
      <c r="L64" s="2136"/>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 ca="1">O64/'Расчет базового уровня'!$D$35/0.86*1000</f>
        <v>0</v>
      </c>
      <c r="S64" s="1172">
        <f ca="1">R64</f>
        <v>0</v>
      </c>
      <c r="T64" s="1151"/>
      <c r="U64" s="1151"/>
      <c r="V64" s="1171">
        <f ca="1">(O64+P64)/'Расчет базового уровня'!$D$9/0.86*1000</f>
        <v>0</v>
      </c>
      <c r="W64" s="1173">
        <f ca="1">(S64*'Расчет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1251</v>
      </c>
      <c r="E65" s="2135"/>
      <c r="F65" s="2117"/>
      <c r="G65" s="2117"/>
      <c r="H65" s="2118"/>
      <c r="I65" s="2117"/>
      <c r="J65" s="2117"/>
      <c r="K65" s="2117"/>
      <c r="L65" s="2136"/>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1250</v>
      </c>
      <c r="E66" s="2102"/>
      <c r="F66" s="2117"/>
      <c r="G66" s="2117"/>
      <c r="H66" s="2118"/>
      <c r="I66" s="2117"/>
      <c r="J66" s="2117"/>
      <c r="K66" s="2117"/>
      <c r="L66" s="2137"/>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1270</v>
      </c>
      <c r="E68" s="2101" t="s">
        <v>1254</v>
      </c>
      <c r="F68" s="1276" t="s">
        <v>1690</v>
      </c>
      <c r="G68" s="1276" t="s">
        <v>1284</v>
      </c>
      <c r="H68" s="1276" t="s">
        <v>1283</v>
      </c>
      <c r="I68" s="1276" t="s">
        <v>1283</v>
      </c>
      <c r="J68" s="1276" t="s">
        <v>1283</v>
      </c>
      <c r="K68" s="1276" t="s">
        <v>1283</v>
      </c>
      <c r="L68" s="2133" t="s">
        <v>1373</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Повышение теплозащиты перекрытия над подвалом</v>
      </c>
      <c r="E69" s="2135"/>
      <c r="F69" s="2128">
        <f>'Расчет базового уровня'!B144</f>
        <v>811.2</v>
      </c>
      <c r="G69" s="2128"/>
      <c r="H69" s="2118">
        <f>I69+J69+K69</f>
        <v>0</v>
      </c>
      <c r="I69" s="2117"/>
      <c r="J69" s="2117">
        <f>IF(AB69=1,G69*F69,0)</f>
        <v>0</v>
      </c>
      <c r="K69" s="2117"/>
      <c r="L69" s="2136"/>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 ca="1">O69/'Расчет базового уровня'!$D$35/0.86*1000</f>
        <v>0</v>
      </c>
      <c r="S69" s="1172">
        <f ca="1">R69</f>
        <v>0</v>
      </c>
      <c r="T69" s="1151"/>
      <c r="U69" s="1151"/>
      <c r="V69" s="1171">
        <f ca="1">(O69+P69)/'Расчет базового уровня'!$D$9/0.86*1000</f>
        <v>0</v>
      </c>
      <c r="W69" s="1173">
        <f ca="1">(S69*'Расчет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1</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1251</v>
      </c>
      <c r="E70" s="2135"/>
      <c r="F70" s="2117"/>
      <c r="G70" s="2117"/>
      <c r="H70" s="2118"/>
      <c r="I70" s="2117"/>
      <c r="J70" s="2117"/>
      <c r="K70" s="2117"/>
      <c r="L70" s="2136"/>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1250</v>
      </c>
      <c r="E71" s="2102"/>
      <c r="F71" s="2117"/>
      <c r="G71" s="2117"/>
      <c r="H71" s="2118"/>
      <c r="I71" s="2117"/>
      <c r="J71" s="2117"/>
      <c r="K71" s="2117"/>
      <c r="L71" s="2137"/>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2" t="s">
        <v>1389</v>
      </c>
      <c r="E73" s="1211"/>
      <c r="F73" s="1212"/>
      <c r="G73" s="1212"/>
      <c r="H73" s="1212"/>
      <c r="I73" s="1212"/>
      <c r="J73" s="1212"/>
      <c r="K73" s="1212"/>
      <c r="L73" s="1211"/>
      <c r="M73" s="50"/>
      <c r="N73" s="50"/>
      <c r="O73" s="1213">
        <f>O75</f>
        <v>0</v>
      </c>
      <c r="P73" s="1213"/>
      <c r="Q73" s="1213"/>
      <c r="R73" s="1216">
        <f ca="1">O73/'Расчет базового уровня'!$D$35/0.86*1000</f>
        <v>0</v>
      </c>
      <c r="S73" s="1218">
        <f ca="1">R73</f>
        <v>0</v>
      </c>
      <c r="T73" s="1215"/>
      <c r="U73" s="1215"/>
      <c r="V73" s="1216">
        <f ca="1">(O73+P73)/'Расчет базового уровня'!$D$9/0.86*1000</f>
        <v>0</v>
      </c>
      <c r="W73" s="1216">
        <f ca="1">(S73*'Расчет базового уровня'!$D$35+'Список мероприятий'!U73*'Расчет базового уровня'!$D$15)/'Расчет базового уровня'!$D$9</f>
        <v>0</v>
      </c>
      <c r="X73" s="1215"/>
      <c r="Y73" s="1218">
        <f>Y76+Y80</f>
        <v>0</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3" t="s">
        <v>853</v>
      </c>
      <c r="G74" s="1283" t="s">
        <v>1284</v>
      </c>
      <c r="H74" s="1283" t="s">
        <v>1283</v>
      </c>
      <c r="I74" s="1283"/>
      <c r="J74" s="1283"/>
      <c r="K74" s="1283"/>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1761</v>
      </c>
      <c r="E75" s="1180" t="s">
        <v>1703</v>
      </c>
      <c r="F75" s="1237"/>
      <c r="G75" s="1237"/>
      <c r="H75" s="1239">
        <f>I75+J75+K75</f>
        <v>0</v>
      </c>
      <c r="I75" s="1237"/>
      <c r="J75" s="1297">
        <f>IF(AB75=1,G75*F75,0)</f>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 ca="1">O75/'Расчет базового уровня'!$D$35/0.86*1000</f>
        <v>0</v>
      </c>
      <c r="S75" s="1172">
        <f ca="1">R75</f>
        <v>0</v>
      </c>
      <c r="T75" s="1151"/>
      <c r="U75" s="1151"/>
      <c r="V75" s="1171">
        <f ca="1">(O75+P75)/'Расчет базового уровня'!$D$9/0.86*1000</f>
        <v>0</v>
      </c>
      <c r="W75" s="1219">
        <f ca="1">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1762</v>
      </c>
      <c r="E76" s="2101" t="s">
        <v>1272</v>
      </c>
      <c r="F76" s="2117"/>
      <c r="G76" s="2117"/>
      <c r="H76" s="2118">
        <f>I76+J76+K76</f>
        <v>0</v>
      </c>
      <c r="I76" s="2117"/>
      <c r="J76" s="2117">
        <f>IF(AB76=1,G76*F76,0)</f>
        <v>0</v>
      </c>
      <c r="K76" s="2117"/>
      <c r="L76" s="2113"/>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972</v>
      </c>
      <c r="E77" s="2102"/>
      <c r="F77" s="2117"/>
      <c r="G77" s="2117"/>
      <c r="H77" s="2118"/>
      <c r="I77" s="2117"/>
      <c r="J77" s="2117"/>
      <c r="K77" s="2117"/>
      <c r="L77" s="2114"/>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1829</v>
      </c>
      <c r="E78" s="2101" t="s">
        <v>1272</v>
      </c>
      <c r="F78" s="2117"/>
      <c r="G78" s="2117"/>
      <c r="H78" s="2118">
        <f>I78+J78+K78</f>
        <v>0</v>
      </c>
      <c r="I78" s="2117"/>
      <c r="J78" s="2117">
        <f>IF(AB78=1,G78*F78,0)</f>
        <v>0</v>
      </c>
      <c r="K78" s="2117"/>
      <c r="L78" s="2113"/>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2447</v>
      </c>
      <c r="E79" s="2102"/>
      <c r="F79" s="2117"/>
      <c r="G79" s="2117"/>
      <c r="H79" s="2118"/>
      <c r="I79" s="2117"/>
      <c r="J79" s="2117"/>
      <c r="K79" s="2117"/>
      <c r="L79" s="2114"/>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1763</v>
      </c>
      <c r="E80" s="1192" t="s">
        <v>1273</v>
      </c>
      <c r="F80" s="1237"/>
      <c r="G80" s="1237"/>
      <c r="H80" s="1239">
        <f>I80+J80+K80</f>
        <v>0</v>
      </c>
      <c r="I80" s="1237"/>
      <c r="J80" s="1237">
        <f>IF(AB80=1,G80*F80,0)</f>
        <v>0</v>
      </c>
      <c r="K80" s="1237"/>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80" s="1151"/>
      <c r="S80" s="1151"/>
      <c r="T80" s="1151"/>
      <c r="U80" s="1151"/>
      <c r="V80" s="1151"/>
      <c r="W80" s="1151"/>
      <c r="X80" s="1171">
        <f>Q80/'Расчет базового уровня'!$D$100</f>
        <v>0</v>
      </c>
      <c r="Y80" s="1171">
        <f>X80*(1-(X76+X78)/'Расчет базового уровня'!D103)</f>
        <v>0</v>
      </c>
      <c r="Z80" s="50">
        <f>IF(AB80-AA80=1,1,0)</f>
        <v>0</v>
      </c>
      <c r="AA80" s="1165">
        <v>1</v>
      </c>
      <c r="AB80" s="1137">
        <f>IF(AC80=TRUE,1,0)</f>
        <v>0</v>
      </c>
      <c r="AC80" s="1138" t="b">
        <v>0</v>
      </c>
      <c r="AD80" s="1165">
        <f>IF(AND(AA80=1,A80="ОШИБКА"),1,0)</f>
        <v>0</v>
      </c>
      <c r="AE80" s="51" t="str">
        <f>IF(AB80=1,CONCATENATE(D80,CHAR(10)),"")</f>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164" t="str">
        <f>IF(AND('Список мероприятий'!$AB$34=0,'Система отопления'!F5=0,'Система отопления'!F6=0),"Необходимо выбрать установку АУУ СО или АИТП","")</f>
        <v/>
      </c>
      <c r="C82" s="2164"/>
      <c r="D82" s="2164"/>
      <c r="E82" s="2164"/>
      <c r="F82" s="2164"/>
      <c r="G82" s="2164"/>
      <c r="H82" s="2164"/>
      <c r="I82" s="2164"/>
      <c r="J82" s="2164"/>
      <c r="K82" s="2164"/>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32"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32"/>
      <c r="D83" s="2132"/>
      <c r="E83" s="2132"/>
      <c r="F83" s="2132"/>
      <c r="G83" s="2132"/>
      <c r="H83" s="2132"/>
      <c r="I83" s="2132"/>
      <c r="J83" s="2132"/>
      <c r="K83" s="2132"/>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24" t="str">
        <f ca="1">IF(списки!C53=1,CONCATENATE(AE9,AE12,AE13,AE14,AE16,AE22,AE26,AE29,AE39,AE40,AE41,AE44,AE49,AE54,AE34,AE36,AE37,AE57,AE58,AE60,AE64,AE69,AE75,AE76,AE78,AE80),"")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C84" s="2125"/>
      <c r="D84" s="2125"/>
      <c r="E84" s="2125"/>
      <c r="F84" s="2125"/>
      <c r="G84" s="2125"/>
      <c r="H84" s="2125"/>
      <c r="I84" s="2125"/>
      <c r="J84" s="2125"/>
      <c r="K84" s="2126"/>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1313</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1314</v>
      </c>
      <c r="F87" s="1224" t="s">
        <v>862</v>
      </c>
      <c r="G87" s="2160" t="s">
        <v>863</v>
      </c>
      <c r="H87" s="2160"/>
      <c r="I87" s="2160"/>
      <c r="J87" s="2161"/>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21" t="s">
        <v>1315</v>
      </c>
      <c r="E88" s="2122"/>
      <c r="F88" s="2122"/>
      <c r="G88" s="2122"/>
      <c r="H88" s="2122"/>
      <c r="I88" s="2122"/>
      <c r="J88" s="2123"/>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4" t="s">
        <v>1316</v>
      </c>
      <c r="E89" s="1295" t="s">
        <v>1770</v>
      </c>
      <c r="F89" s="1302">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305266.48</v>
      </c>
      <c r="G89" s="2103"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04"/>
      <c r="I89" s="2104"/>
      <c r="J89" s="2105"/>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4" t="s">
        <v>1550</v>
      </c>
      <c r="E90" s="1295" t="s">
        <v>2152</v>
      </c>
      <c r="F90" s="1303">
        <f ca="1">IF(списки!C51=1,"",F89/'Ввод исходных данных'!G55)</f>
        <v>52.914973132258623</v>
      </c>
      <c r="G90" s="2106"/>
      <c r="H90" s="2107"/>
      <c r="I90" s="2107"/>
      <c r="J90" s="2108"/>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4" t="s">
        <v>1704</v>
      </c>
      <c r="E91" s="1295" t="s">
        <v>2152</v>
      </c>
      <c r="F91" s="1303">
        <f ca="1">IF(списки!C51=1,"",F89/('Ввод исходных данных'!G56+'Ввод исходных данных'!D23))</f>
        <v>67.554766752235096</v>
      </c>
      <c r="G91" s="1288"/>
      <c r="H91" s="1289"/>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4" t="s">
        <v>1722</v>
      </c>
      <c r="E92" s="1295" t="s">
        <v>1770</v>
      </c>
      <c r="F92" s="1303">
        <f ca="1">IF(списки!C53=0,"",'Экономический расчет'!H22-'Экономический расчет'!J22)</f>
        <v>322006.23999999976</v>
      </c>
      <c r="G92" s="1288"/>
      <c r="H92" s="1289"/>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4" t="s">
        <v>1705</v>
      </c>
      <c r="E93" s="1295" t="s">
        <v>1164</v>
      </c>
      <c r="F93" s="1304">
        <f ca="1">'Экономический расчет'!H33</f>
        <v>0.1283</v>
      </c>
      <c r="G93" s="1288"/>
      <c r="H93" s="1289"/>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4" t="s">
        <v>1317</v>
      </c>
      <c r="E94" s="1295" t="s">
        <v>1318</v>
      </c>
      <c r="F94" s="1305">
        <f ca="1">IF(списки!C51=1,"",'Экономический расчет'!H34)</f>
        <v>0.94810807134170783</v>
      </c>
      <c r="G94" s="1288"/>
      <c r="H94" s="1289"/>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21" t="s">
        <v>1319</v>
      </c>
      <c r="E95" s="2122"/>
      <c r="F95" s="2122"/>
      <c r="G95" s="2122"/>
      <c r="H95" s="2122"/>
      <c r="I95" s="2122"/>
      <c r="J95" s="2123"/>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0" t="s">
        <v>1320</v>
      </c>
      <c r="E96" s="1285" t="s">
        <v>1167</v>
      </c>
      <c r="F96" s="1298">
        <f ca="1">IF(списки!C53=0,"",('Экономический расчет'!H23-'Экономический расчет'!J23)/'Ввод исходных данных'!D302)</f>
        <v>180.29664889355453</v>
      </c>
      <c r="G96" s="1286"/>
      <c r="H96" s="1287"/>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1" t="s">
        <v>1321</v>
      </c>
      <c r="E97" s="1292" t="s">
        <v>2135</v>
      </c>
      <c r="F97" s="1299">
        <f ca="1">IF(списки!C53=0,"",('Экономический расчет'!H26-'Экономический расчет'!J26)/'Ввод исходных данных'!E302)</f>
        <v>-1135.5277044854865</v>
      </c>
      <c r="G97" s="1288"/>
      <c r="H97" s="1289"/>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3" t="s">
        <v>1322</v>
      </c>
      <c r="E98" s="1292" t="s">
        <v>2133</v>
      </c>
      <c r="F98" s="1300">
        <f ca="1">IF(списки!C53=0,"",IF('Расчет после реализации'!D108&gt;'Расчет после реализации'!C108,'Расчет после реализации'!D108-'Расчет после реализации'!C108,0))</f>
        <v>1135.5285111000082</v>
      </c>
      <c r="G98" s="2155" t="s">
        <v>1323</v>
      </c>
      <c r="H98" s="2156"/>
      <c r="I98" s="2156"/>
      <c r="J98" s="2157"/>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3" t="s">
        <v>1324</v>
      </c>
      <c r="E99" s="1292" t="s">
        <v>2133</v>
      </c>
      <c r="F99" s="1299">
        <f ca="1">IF(списки!C53=0,"",'Расчет после реализации'!D7)</f>
        <v>208549.4756350338</v>
      </c>
      <c r="G99" s="2151"/>
      <c r="H99" s="2152"/>
      <c r="I99" s="2152"/>
      <c r="J99" s="2153"/>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3" t="s">
        <v>1325</v>
      </c>
      <c r="E100" s="1292" t="s">
        <v>2134</v>
      </c>
      <c r="F100" s="1301">
        <f ca="1">IF(списки!C53=0,"",F99/('Ввод исходных данных'!G56+'Ввод исходных данных'!$G$23))</f>
        <v>48.162738882481648</v>
      </c>
      <c r="G100" s="2151"/>
      <c r="H100" s="2152"/>
      <c r="I100" s="2152"/>
      <c r="J100" s="2153"/>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100" t="s">
        <v>1814</v>
      </c>
      <c r="E103" s="50"/>
      <c r="F103" s="1360"/>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4"/>
      <c r="D104" s="2100"/>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5"/>
      <c r="BE104" s="1695"/>
    </row>
    <row r="105" spans="1:57" s="13" customFormat="1" ht="21" customHeight="1" x14ac:dyDescent="0.25">
      <c r="A105" s="50"/>
      <c r="B105" s="1247"/>
      <c r="C105" s="1324"/>
      <c r="D105" s="1398" t="s">
        <v>1796</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5"/>
      <c r="BE105" s="1695"/>
    </row>
    <row r="106" spans="1:57" s="13" customFormat="1" ht="21.75" customHeight="1" x14ac:dyDescent="0.25">
      <c r="A106" s="50"/>
      <c r="B106" s="1247"/>
      <c r="C106" s="1324"/>
      <c r="D106" s="1399" t="s">
        <v>1795</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5"/>
      <c r="BE106" s="1695"/>
    </row>
    <row r="107" spans="1:57" s="13" customFormat="1" ht="23.25" customHeight="1" x14ac:dyDescent="0.25">
      <c r="A107" s="50"/>
      <c r="B107" s="1247"/>
      <c r="C107" s="1324"/>
      <c r="D107" s="1400" t="s">
        <v>1788</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5"/>
      <c r="BE107" s="1695"/>
    </row>
    <row r="108" spans="1:57" s="13" customFormat="1" ht="24" customHeight="1" x14ac:dyDescent="0.25">
      <c r="A108" s="50"/>
      <c r="B108" s="1247"/>
      <c r="C108" s="1324"/>
      <c r="D108" s="1401" t="s">
        <v>1789</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5"/>
      <c r="BE108" s="1695"/>
    </row>
    <row r="109" spans="1:57" s="13" customFormat="1" ht="21.75" customHeight="1" x14ac:dyDescent="0.25">
      <c r="A109" s="50"/>
      <c r="B109" s="1247"/>
      <c r="C109" s="1324"/>
      <c r="D109" s="1402" t="s">
        <v>1790</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5"/>
      <c r="BE109" s="1695"/>
    </row>
    <row r="110" spans="1:57" s="13" customFormat="1" ht="21.75" customHeight="1" x14ac:dyDescent="0.25">
      <c r="A110" s="50"/>
      <c r="B110" s="1247"/>
      <c r="C110" s="1324"/>
      <c r="D110" s="1403" t="s">
        <v>1791</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5"/>
      <c r="BE110" s="1695"/>
    </row>
    <row r="111" spans="1:57" s="13" customFormat="1" ht="24" customHeight="1" x14ac:dyDescent="0.25">
      <c r="A111" s="50"/>
      <c r="B111" s="1247"/>
      <c r="C111" s="1324"/>
      <c r="D111" s="1404" t="s">
        <v>1792</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5"/>
      <c r="BE111" s="1695"/>
    </row>
    <row r="112" spans="1:57" s="13" customFormat="1" ht="23.25" customHeight="1" x14ac:dyDescent="0.25">
      <c r="A112" s="50"/>
      <c r="B112" s="1247"/>
      <c r="C112" s="1324"/>
      <c r="D112" s="1404" t="s">
        <v>1793</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5"/>
      <c r="BE112" s="1695"/>
    </row>
    <row r="113" spans="1:57" s="13" customFormat="1" ht="21.75" customHeight="1" x14ac:dyDescent="0.25">
      <c r="A113" s="50"/>
      <c r="B113" s="1247"/>
      <c r="C113" s="1324"/>
      <c r="D113" s="1359" t="s">
        <v>1794</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5"/>
      <c r="BE113" s="1695"/>
    </row>
    <row r="114" spans="1:57" s="13" customFormat="1" ht="26.25" customHeight="1" x14ac:dyDescent="0.25">
      <c r="A114" s="1247"/>
      <c r="B114" s="132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5"/>
      <c r="BE114" s="1695"/>
    </row>
    <row r="115" spans="1:57" x14ac:dyDescent="0.25">
      <c r="A115" s="50"/>
      <c r="B115" s="50"/>
      <c r="C115" s="50"/>
      <c r="D115" s="50" t="s">
        <v>1815</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s>
  <conditionalFormatting sqref="D26">
    <cfRule type="expression" dxfId="151" priority="148">
      <formula>$AA$26=0</formula>
    </cfRule>
  </conditionalFormatting>
  <conditionalFormatting sqref="D14:D15">
    <cfRule type="expression" dxfId="150" priority="149">
      <formula>$AA$14=0</formula>
    </cfRule>
  </conditionalFormatting>
  <conditionalFormatting sqref="D12">
    <cfRule type="expression" dxfId="149" priority="150">
      <formula>$AA$12=0</formula>
    </cfRule>
  </conditionalFormatting>
  <conditionalFormatting sqref="D9:D11 D22:D24 D29:D31 D64:D66 D69:D71 D37 D75">
    <cfRule type="expression" dxfId="148" priority="151">
      <formula>$AA9=0</formula>
    </cfRule>
  </conditionalFormatting>
  <conditionalFormatting sqref="D41 D43">
    <cfRule type="expression" dxfId="147" priority="154">
      <formula>$AA$41=0</formula>
    </cfRule>
  </conditionalFormatting>
  <conditionalFormatting sqref="D76:D77">
    <cfRule type="expression" dxfId="146" priority="155">
      <formula>$AA$76=0</formula>
    </cfRule>
  </conditionalFormatting>
  <conditionalFormatting sqref="D80">
    <cfRule type="expression" dxfId="145" priority="156">
      <formula>$AA$80=0</formula>
    </cfRule>
  </conditionalFormatting>
  <conditionalFormatting sqref="D38">
    <cfRule type="expression" dxfId="144" priority="172">
      <formula>$AA$39=0</formula>
    </cfRule>
  </conditionalFormatting>
  <conditionalFormatting sqref="D44">
    <cfRule type="expression" dxfId="143" priority="173">
      <formula>$AA$44=0</formula>
    </cfRule>
  </conditionalFormatting>
  <conditionalFormatting sqref="D57">
    <cfRule type="expression" dxfId="142" priority="174">
      <formula>$AA$57=0</formula>
    </cfRule>
  </conditionalFormatting>
  <conditionalFormatting sqref="A2">
    <cfRule type="expression" dxfId="141" priority="175">
      <formula>$AD$6&gt;=1</formula>
    </cfRule>
  </conditionalFormatting>
  <conditionalFormatting sqref="D58">
    <cfRule type="expression" dxfId="140" priority="176">
      <formula>$AA$58=0</formula>
    </cfRule>
  </conditionalFormatting>
  <conditionalFormatting sqref="D45">
    <cfRule type="expression" dxfId="139" priority="177">
      <formula>$AA$45=0</formula>
    </cfRule>
  </conditionalFormatting>
  <conditionalFormatting sqref="D46">
    <cfRule type="expression" dxfId="138" priority="178">
      <formula>$AA$46=0</formula>
    </cfRule>
  </conditionalFormatting>
  <conditionalFormatting sqref="D47">
    <cfRule type="expression" dxfId="137" priority="179">
      <formula>$AA$47=0</formula>
    </cfRule>
  </conditionalFormatting>
  <conditionalFormatting sqref="D50">
    <cfRule type="expression" dxfId="136" priority="180">
      <formula>$AA$50=0</formula>
    </cfRule>
  </conditionalFormatting>
  <conditionalFormatting sqref="D51">
    <cfRule type="expression" dxfId="135" priority="181">
      <formula>$AA$51=0</formula>
    </cfRule>
  </conditionalFormatting>
  <conditionalFormatting sqref="D52">
    <cfRule type="expression" dxfId="134" priority="182">
      <formula>$AA$52=0</formula>
    </cfRule>
  </conditionalFormatting>
  <conditionalFormatting sqref="D36">
    <cfRule type="expression" dxfId="133" priority="183">
      <formula>$AA$36=0</formula>
    </cfRule>
  </conditionalFormatting>
  <conditionalFormatting sqref="I9 K9 G9 F9">
    <cfRule type="expression" dxfId="132" priority="184">
      <formula>$AB$9=1</formula>
    </cfRule>
  </conditionalFormatting>
  <conditionalFormatting sqref="G12 I12 K12 F12">
    <cfRule type="expression" dxfId="131" priority="187">
      <formula>$AB$12=1</formula>
    </cfRule>
  </conditionalFormatting>
  <conditionalFormatting sqref="I15 K15 F15:G15">
    <cfRule type="expression" dxfId="130" priority="190">
      <formula>$AB$15=1</formula>
    </cfRule>
  </conditionalFormatting>
  <conditionalFormatting sqref="I22 K22 F22:G22">
    <cfRule type="expression" dxfId="129" priority="193">
      <formula>$AB$22=1</formula>
    </cfRule>
  </conditionalFormatting>
  <conditionalFormatting sqref="I26:K26">
    <cfRule type="expression" dxfId="128" priority="196">
      <formula>$AB$26=1</formula>
    </cfRule>
  </conditionalFormatting>
  <conditionalFormatting sqref="I29 K29 F29:G29">
    <cfRule type="expression" dxfId="127" priority="197">
      <formula>$AB$29=1</formula>
    </cfRule>
  </conditionalFormatting>
  <conditionalFormatting sqref="K64 I64 F64:G64">
    <cfRule type="expression" dxfId="126" priority="200">
      <formula>$AB$64=1</formula>
    </cfRule>
  </conditionalFormatting>
  <conditionalFormatting sqref="I69 F69:G69 K69">
    <cfRule type="expression" dxfId="125" priority="203">
      <formula>$AB$69=1</formula>
    </cfRule>
  </conditionalFormatting>
  <conditionalFormatting sqref="I34 K34 F34:G34">
    <cfRule type="expression" dxfId="124" priority="206">
      <formula>$AB$34=1</formula>
    </cfRule>
  </conditionalFormatting>
  <conditionalFormatting sqref="I36:K36 F36:G36">
    <cfRule type="expression" dxfId="123" priority="212">
      <formula>$AB$36=1</formula>
    </cfRule>
  </conditionalFormatting>
  <conditionalFormatting sqref="I37:K37 F37:G37">
    <cfRule type="expression" dxfId="122" priority="213">
      <formula>$AB$37=1</formula>
    </cfRule>
  </conditionalFormatting>
  <conditionalFormatting sqref="F39:G39 I39 K39">
    <cfRule type="expression" dxfId="121" priority="214">
      <formula>$AB$39=1</formula>
    </cfRule>
  </conditionalFormatting>
  <conditionalFormatting sqref="F40:G40">
    <cfRule type="expression" dxfId="120" priority="217">
      <formula>$AB$40=1</formula>
    </cfRule>
  </conditionalFormatting>
  <conditionalFormatting sqref="I41:K41 F41:G41">
    <cfRule type="expression" dxfId="119" priority="220">
      <formula>$AB$41=1</formula>
    </cfRule>
  </conditionalFormatting>
  <conditionalFormatting sqref="F57:G57 I57 K57">
    <cfRule type="expression" dxfId="118" priority="221">
      <formula>$AB$57=1</formula>
    </cfRule>
  </conditionalFormatting>
  <conditionalFormatting sqref="F58:G59 I58:K58">
    <cfRule type="expression" dxfId="117" priority="222">
      <formula>$AB$58=1</formula>
    </cfRule>
  </conditionalFormatting>
  <conditionalFormatting sqref="I60 K60">
    <cfRule type="expression" dxfId="116" priority="223">
      <formula>$AB$60=1</formula>
    </cfRule>
  </conditionalFormatting>
  <conditionalFormatting sqref="I75 K75 F75:G75">
    <cfRule type="expression" dxfId="115" priority="224">
      <formula>$AB$75=1</formula>
    </cfRule>
  </conditionalFormatting>
  <conditionalFormatting sqref="I76:I77 K76:K77">
    <cfRule type="expression" dxfId="114" priority="227">
      <formula>$AB$76=1</formula>
    </cfRule>
  </conditionalFormatting>
  <conditionalFormatting sqref="F76:G77">
    <cfRule type="expression" dxfId="113" priority="230">
      <formula>$AB$76=1</formula>
    </cfRule>
  </conditionalFormatting>
  <conditionalFormatting sqref="I80 K80">
    <cfRule type="expression" dxfId="112" priority="233">
      <formula>$AB$80=1</formula>
    </cfRule>
  </conditionalFormatting>
  <conditionalFormatting sqref="F54:G54 I54 K54">
    <cfRule type="expression" dxfId="111" priority="234">
      <formula>$AB$54=1</formula>
    </cfRule>
  </conditionalFormatting>
  <conditionalFormatting sqref="I50 F50:G50 K50">
    <cfRule type="expression" dxfId="110" priority="235">
      <formula>$AB$50=1</formula>
    </cfRule>
  </conditionalFormatting>
  <conditionalFormatting sqref="F52:G52 I52 K52">
    <cfRule type="expression" dxfId="109" priority="236">
      <formula>$AB52=1</formula>
    </cfRule>
  </conditionalFormatting>
  <conditionalFormatting sqref="G80">
    <cfRule type="expression" dxfId="108" priority="41">
      <formula>$AB$80=1</formula>
    </cfRule>
  </conditionalFormatting>
  <conditionalFormatting sqref="F69">
    <cfRule type="expression" dxfId="107" priority="40">
      <formula>$AB$69=1</formula>
    </cfRule>
  </conditionalFormatting>
  <conditionalFormatting sqref="K40">
    <cfRule type="expression" dxfId="106" priority="39">
      <formula>$AB$40=1</formula>
    </cfRule>
  </conditionalFormatting>
  <conditionalFormatting sqref="I40">
    <cfRule type="expression" dxfId="105" priority="38">
      <formula>$AB$40=1</formula>
    </cfRule>
  </conditionalFormatting>
  <conditionalFormatting sqref="D43">
    <cfRule type="expression" dxfId="104" priority="32">
      <formula>$AB$41=0</formula>
    </cfRule>
    <cfRule type="expression" dxfId="103" priority="37">
      <formula>$AB$41=1</formula>
    </cfRule>
  </conditionalFormatting>
  <conditionalFormatting sqref="D42">
    <cfRule type="expression" dxfId="102" priority="33">
      <formula>$AB$41=0</formula>
    </cfRule>
    <cfRule type="expression" dxfId="101" priority="35">
      <formula>$AA$41=0</formula>
    </cfRule>
  </conditionalFormatting>
  <conditionalFormatting sqref="D35">
    <cfRule type="expression" dxfId="100" priority="31">
      <formula>$AB$34=0</formula>
    </cfRule>
  </conditionalFormatting>
  <conditionalFormatting sqref="D40">
    <cfRule type="expression" dxfId="99" priority="30">
      <formula>$AA$39=0</formula>
    </cfRule>
  </conditionalFormatting>
  <conditionalFormatting sqref="D54">
    <cfRule type="expression" dxfId="98" priority="29">
      <formula>$AA$54=0</formula>
    </cfRule>
  </conditionalFormatting>
  <conditionalFormatting sqref="F80">
    <cfRule type="expression" dxfId="97" priority="28">
      <formula>$AB$80=1</formula>
    </cfRule>
  </conditionalFormatting>
  <conditionalFormatting sqref="F51:G51 I51 K51">
    <cfRule type="expression" dxfId="96" priority="27">
      <formula>$AB$51=1</formula>
    </cfRule>
  </conditionalFormatting>
  <conditionalFormatting sqref="F47:G47 I47 K47">
    <cfRule type="expression" dxfId="95" priority="26">
      <formula>$AB$47=1</formula>
    </cfRule>
  </conditionalFormatting>
  <conditionalFormatting sqref="F46:G46 I46 K46">
    <cfRule type="expression" dxfId="94" priority="25">
      <formula>$AB$46=1</formula>
    </cfRule>
  </conditionalFormatting>
  <conditionalFormatting sqref="F45:G45 I45 K45">
    <cfRule type="expression" dxfId="93" priority="24">
      <formula>$AB$45=1</formula>
    </cfRule>
  </conditionalFormatting>
  <conditionalFormatting sqref="D16:D17">
    <cfRule type="expression" dxfId="92" priority="13">
      <formula>$AA$14=0</formula>
    </cfRule>
  </conditionalFormatting>
  <conditionalFormatting sqref="I17 K17 F17:G17">
    <cfRule type="expression" dxfId="91" priority="14">
      <formula>$AB$15=1</formula>
    </cfRule>
  </conditionalFormatting>
  <conditionalFormatting sqref="D78:D79">
    <cfRule type="expression" dxfId="90" priority="10">
      <formula>$AA$76=0</formula>
    </cfRule>
  </conditionalFormatting>
  <conditionalFormatting sqref="I78:I79 K78:K79">
    <cfRule type="expression" dxfId="89" priority="11">
      <formula>$AB$76=1</formula>
    </cfRule>
  </conditionalFormatting>
  <conditionalFormatting sqref="F78:G79">
    <cfRule type="expression" dxfId="88" priority="12">
      <formula>$AB$76=1</formula>
    </cfRule>
  </conditionalFormatting>
  <conditionalFormatting sqref="F13">
    <cfRule type="expression" dxfId="87" priority="8">
      <formula>$AB$15=1</formula>
    </cfRule>
  </conditionalFormatting>
  <conditionalFormatting sqref="G13">
    <cfRule type="expression" dxfId="86" priority="7">
      <formula>$AB$12=1</formula>
    </cfRule>
  </conditionalFormatting>
  <conditionalFormatting sqref="I13 K13">
    <cfRule type="expression" dxfId="85" priority="6">
      <formula>$AB$12=1</formula>
    </cfRule>
  </conditionalFormatting>
  <conditionalFormatting sqref="J44:J47">
    <cfRule type="expression" dxfId="84" priority="5">
      <formula>$AB$41=1</formula>
    </cfRule>
  </conditionalFormatting>
  <conditionalFormatting sqref="J49:J52">
    <cfRule type="expression" dxfId="83" priority="4">
      <formula>$AB$41=1</formula>
    </cfRule>
  </conditionalFormatting>
  <conditionalFormatting sqref="J54">
    <cfRule type="expression" dxfId="82" priority="3">
      <formula>$AB$41=1</formula>
    </cfRule>
  </conditionalFormatting>
  <conditionalFormatting sqref="J57">
    <cfRule type="expression" dxfId="81" priority="2">
      <formula>$AB$41=1</formula>
    </cfRule>
  </conditionalFormatting>
  <conditionalFormatting sqref="J60">
    <cfRule type="expression" dxfId="80" priority="1">
      <formula>$AB$41=1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s://fondgkh.ru/napravleniya-deyatelnosti/energoeffektivnyy-kapremont/pomoshchnik-ekr00/pomoshc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21E9119C-50D4-49F7-BB9A-3C5A296BD85A}">
            <xm:f>'классы ЭЭ и выбросы ПГ'!$E$34=1</xm:f>
            <x14:dxf>
              <fill>
                <patternFill>
                  <bgColor theme="1"/>
                </patternFill>
              </fill>
            </x14:dxf>
          </x14:cfRule>
          <xm:sqref>D112</xm:sqref>
        </x14:conditionalFormatting>
        <x14:conditionalFormatting xmlns:xm="http://schemas.microsoft.com/office/excel/2006/main">
          <x14:cfRule type="expression" priority="22" id="{EBB0DB20-82B8-4630-AD5A-B2F9B32ABB4C}">
            <xm:f>'классы ЭЭ и выбросы ПГ'!$E$27=1</xm:f>
            <x14:dxf>
              <fill>
                <patternFill>
                  <bgColor theme="1"/>
                </patternFill>
              </fill>
            </x14:dxf>
          </x14:cfRule>
          <xm:sqref>D105</xm:sqref>
        </x14:conditionalFormatting>
        <x14:conditionalFormatting xmlns:xm="http://schemas.microsoft.com/office/excel/2006/main">
          <x14:cfRule type="expression" priority="21" id="{F90D870B-CDE7-4C8A-9882-5C28906CB3FB}">
            <xm:f>'классы ЭЭ и выбросы ПГ'!$E$28=1</xm:f>
            <x14:dxf>
              <fill>
                <patternFill>
                  <bgColor theme="1"/>
                </patternFill>
              </fill>
            </x14:dxf>
          </x14:cfRule>
          <xm:sqref>D106</xm:sqref>
        </x14:conditionalFormatting>
        <x14:conditionalFormatting xmlns:xm="http://schemas.microsoft.com/office/excel/2006/main">
          <x14:cfRule type="expression" priority="20" id="{1B6FA087-F69C-4D79-BD18-C535927F24CC}">
            <xm:f>'классы ЭЭ и выбросы ПГ'!$E$29=1</xm:f>
            <x14:dxf>
              <fill>
                <patternFill>
                  <bgColor theme="1"/>
                </patternFill>
              </fill>
            </x14:dxf>
          </x14:cfRule>
          <xm:sqref>D107</xm:sqref>
        </x14:conditionalFormatting>
        <x14:conditionalFormatting xmlns:xm="http://schemas.microsoft.com/office/excel/2006/main">
          <x14:cfRule type="expression" priority="19" id="{5E3BABD3-6134-49D6-BA64-C020AB783B92}">
            <xm:f>'классы ЭЭ и выбросы ПГ'!$E$30=1</xm:f>
            <x14:dxf>
              <fill>
                <patternFill>
                  <bgColor theme="1"/>
                </patternFill>
              </fill>
            </x14:dxf>
          </x14:cfRule>
          <xm:sqref>D108</xm:sqref>
        </x14:conditionalFormatting>
        <x14:conditionalFormatting xmlns:xm="http://schemas.microsoft.com/office/excel/2006/main">
          <x14:cfRule type="expression" priority="18" id="{3465B050-C3D2-4632-B628-BE1342CA1E09}">
            <xm:f>'классы ЭЭ и выбросы ПГ'!$E$31=1</xm:f>
            <x14:dxf>
              <fill>
                <patternFill>
                  <bgColor theme="1"/>
                </patternFill>
              </fill>
            </x14:dxf>
          </x14:cfRule>
          <xm:sqref>D109</xm:sqref>
        </x14:conditionalFormatting>
        <x14:conditionalFormatting xmlns:xm="http://schemas.microsoft.com/office/excel/2006/main">
          <x14:cfRule type="expression" priority="17" id="{91E75960-4828-46AF-88CD-9A58B43320C2}">
            <xm:f>'классы ЭЭ и выбросы ПГ'!$E$32=1</xm:f>
            <x14:dxf>
              <fill>
                <patternFill>
                  <bgColor theme="1"/>
                </patternFill>
              </fill>
            </x14:dxf>
          </x14:cfRule>
          <xm:sqref>D110</xm:sqref>
        </x14:conditionalFormatting>
        <x14:conditionalFormatting xmlns:xm="http://schemas.microsoft.com/office/excel/2006/main">
          <x14:cfRule type="expression" priority="16" id="{F5D97D1D-4E93-4C8F-B2F7-760ADE5591AB}">
            <xm:f>'классы ЭЭ и выбросы ПГ'!$E$33=1</xm:f>
            <x14:dxf>
              <fill>
                <patternFill>
                  <bgColor theme="1"/>
                </patternFill>
              </fill>
            </x14:dxf>
          </x14:cfRule>
          <xm:sqref>D111</xm:sqref>
        </x14:conditionalFormatting>
        <x14:conditionalFormatting xmlns:xm="http://schemas.microsoft.com/office/excel/2006/main">
          <x14:cfRule type="expression" priority="314" id="{21E9119C-50D4-49F7-BB9A-3C5A296BD85A}">
            <xm:f>'классы ЭЭ и выбросы ПГ'!$E$35=1</xm:f>
            <x14:dxf>
              <fill>
                <patternFill>
                  <bgColor theme="1"/>
                </patternFill>
              </fill>
            </x14:dxf>
          </x14:cfRule>
          <xm:sqref>D113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zoomScaleNormal="100" workbookViewId="0">
      <pane ySplit="1" topLeftCell="A77" activePane="bottomLeft" state="frozen"/>
      <selection pane="bottomLeft" activeCell="H25" sqref="H25:I25"/>
    </sheetView>
  </sheetViews>
  <sheetFormatPr defaultColWidth="0" defaultRowHeight="12.75" zeroHeight="1" x14ac:dyDescent="0.2"/>
  <cols>
    <col min="1" max="1" width="6.5703125" style="1713" customWidth="1"/>
    <col min="2" max="2" width="3.5703125" style="1713" bestFit="1" customWidth="1"/>
    <col min="3" max="3" width="9.7109375" style="1713" customWidth="1"/>
    <col min="4" max="14" width="12.85546875" style="1713" customWidth="1"/>
    <col min="15" max="20" width="9.140625" style="1713" customWidth="1"/>
    <col min="21" max="16384" width="9.140625" style="1713" hidden="1"/>
  </cols>
  <sheetData>
    <row r="1" spans="1:22" s="1710" customFormat="1" ht="15" customHeight="1" x14ac:dyDescent="0.2">
      <c r="A1" s="22"/>
      <c r="B1" s="2174" t="s">
        <v>2501</v>
      </c>
      <c r="C1" s="2174"/>
      <c r="D1" s="2174"/>
      <c r="E1" s="2174"/>
      <c r="F1" s="1709"/>
      <c r="G1" s="1709"/>
      <c r="H1" s="2174" t="s">
        <v>2500</v>
      </c>
      <c r="I1" s="2174"/>
      <c r="J1" s="2174"/>
      <c r="K1" s="2174"/>
      <c r="L1" s="1709"/>
      <c r="M1" s="1709"/>
      <c r="N1" s="2174" t="s">
        <v>1570</v>
      </c>
      <c r="O1" s="2174"/>
      <c r="P1" s="2174"/>
      <c r="Q1" s="2174"/>
      <c r="R1" s="2174"/>
      <c r="S1" s="1711"/>
      <c r="T1" s="1709"/>
      <c r="U1" s="1709"/>
      <c r="V1" s="1709"/>
    </row>
    <row r="2" spans="1:22" s="27" customFormat="1" x14ac:dyDescent="0.2">
      <c r="A2" s="263"/>
      <c r="B2" s="263"/>
      <c r="C2" s="263"/>
      <c r="D2" s="263"/>
      <c r="E2" s="263"/>
      <c r="F2" s="263"/>
      <c r="G2" s="2278" t="s">
        <v>1366</v>
      </c>
      <c r="H2" s="2279"/>
      <c r="I2" s="2279"/>
      <c r="J2" s="2279"/>
      <c r="K2" s="2279"/>
      <c r="L2" s="2280"/>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188" t="s">
        <v>2329</v>
      </c>
      <c r="C4" s="2189"/>
      <c r="D4" s="2189"/>
      <c r="E4" s="2189"/>
      <c r="F4" s="2189"/>
      <c r="G4" s="2189"/>
      <c r="H4" s="2210"/>
      <c r="I4" s="264"/>
      <c r="J4" s="264"/>
      <c r="K4" s="264"/>
      <c r="L4" s="264"/>
      <c r="M4" s="1232"/>
      <c r="N4" s="1232"/>
      <c r="O4" s="1232"/>
      <c r="P4" s="1232" t="s">
        <v>1661</v>
      </c>
      <c r="Q4" s="1232"/>
      <c r="R4" s="264"/>
      <c r="S4" s="264"/>
      <c r="T4" s="264"/>
      <c r="U4" s="264"/>
      <c r="V4" s="264"/>
    </row>
    <row r="5" spans="1:22" ht="30" customHeight="1" x14ac:dyDescent="0.2">
      <c r="A5" s="264"/>
      <c r="B5" s="2226" t="s">
        <v>2328</v>
      </c>
      <c r="C5" s="2227"/>
      <c r="D5" s="2227"/>
      <c r="E5" s="2227"/>
      <c r="F5" s="2227"/>
      <c r="G5" s="2228"/>
      <c r="H5" s="1714">
        <f>'Ввод исходных данных'!G56+'Ввод исходных данных'!D23</f>
        <v>4518.8</v>
      </c>
      <c r="I5" s="264"/>
      <c r="J5" s="2179" t="s">
        <v>1662</v>
      </c>
      <c r="K5" s="2179"/>
      <c r="L5" s="264"/>
      <c r="M5" s="1232">
        <v>1</v>
      </c>
      <c r="N5" s="1233" t="str">
        <f ca="1">'Список мероприятий'!$W$9&amp;"/"&amp;'Список мероприятий'!$Y$9</f>
        <v>0/</v>
      </c>
      <c r="O5" s="1232" t="str">
        <f ca="1">IFERROR(IF(P5=0,"","Повыш-е теплозащ. наружных стен"),"")</f>
        <v/>
      </c>
      <c r="P5" s="1234">
        <f ca="1">Q5/SUM($Q$5:$Q$29)</f>
        <v>0</v>
      </c>
      <c r="Q5" s="1232">
        <f ca="1">IFERROR(MID($N5,1,SEARCH("/",$N5)-1)*$H$23,0)+IFERROR(MID($N5,SEARCH("/",$N5)+1,LEN($N5))*$H$26,0)</f>
        <v>0</v>
      </c>
      <c r="R5" s="264"/>
      <c r="S5" s="264"/>
      <c r="T5" s="264"/>
      <c r="U5" s="264"/>
      <c r="V5" s="264"/>
    </row>
    <row r="6" spans="1:22" ht="15" customHeight="1" x14ac:dyDescent="0.2">
      <c r="A6" s="264"/>
      <c r="B6" s="2180" t="s">
        <v>2326</v>
      </c>
      <c r="C6" s="2181"/>
      <c r="D6" s="2181"/>
      <c r="E6" s="2181"/>
      <c r="F6" s="2181"/>
      <c r="G6" s="2182"/>
      <c r="H6" s="1755"/>
      <c r="I6" s="264"/>
      <c r="J6" s="2175" t="s">
        <v>1677</v>
      </c>
      <c r="K6" s="2176"/>
      <c r="L6" s="264"/>
      <c r="M6" s="1232">
        <v>2</v>
      </c>
      <c r="N6" s="1233" t="str">
        <f ca="1">'Список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ca="1" si="1">IFERROR(MID($N6,1,SEARCH("/",$N6)-1)*$H$23,0)+IFERROR(MID($N6,SEARCH("/",$N6)+1,LEN($N6))*$H$26,0)</f>
        <v>0</v>
      </c>
      <c r="R6" s="264"/>
      <c r="S6" s="264"/>
      <c r="T6" s="264"/>
      <c r="U6" s="264"/>
      <c r="V6" s="264"/>
    </row>
    <row r="7" spans="1:22" ht="15" customHeight="1" x14ac:dyDescent="0.2">
      <c r="A7" s="264"/>
      <c r="B7" s="2180" t="s">
        <v>2327</v>
      </c>
      <c r="C7" s="2181"/>
      <c r="D7" s="2181"/>
      <c r="E7" s="2181"/>
      <c r="F7" s="2181"/>
      <c r="G7" s="2182"/>
      <c r="H7" s="1759"/>
      <c r="I7" s="264"/>
      <c r="J7" s="2281" t="s">
        <v>1374</v>
      </c>
      <c r="K7" s="2282"/>
      <c r="L7" s="264"/>
      <c r="M7" s="1232">
        <v>3</v>
      </c>
      <c r="N7" s="1233" t="str">
        <f ca="1">'Список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ca="1" si="1"/>
        <v>0</v>
      </c>
      <c r="R7" s="264"/>
      <c r="S7" s="264"/>
      <c r="T7" s="264"/>
      <c r="U7" s="264"/>
      <c r="V7" s="264"/>
    </row>
    <row r="8" spans="1:22" ht="15" customHeight="1" x14ac:dyDescent="0.2">
      <c r="A8" s="264"/>
      <c r="B8" s="2180" t="s">
        <v>2341</v>
      </c>
      <c r="C8" s="2181"/>
      <c r="D8" s="2181"/>
      <c r="E8" s="2181"/>
      <c r="F8" s="2181"/>
      <c r="G8" s="2182"/>
      <c r="H8" s="1760">
        <f>H6*H5*12*H7</f>
        <v>0</v>
      </c>
      <c r="I8" s="264"/>
      <c r="J8" s="2177" t="s">
        <v>1660</v>
      </c>
      <c r="K8" s="2178"/>
      <c r="L8" s="264"/>
      <c r="M8" s="1232">
        <v>4</v>
      </c>
      <c r="N8" s="1233" t="str">
        <f ca="1">'Список мероприятий'!$W$14&amp;"/"&amp;'Список мероприятий'!$Y$14</f>
        <v>0/</v>
      </c>
      <c r="O8" s="1232" t="str">
        <f ca="1">IFERROR(IF(P8=0,"","Замена окон МОП"),"")</f>
        <v/>
      </c>
      <c r="P8" s="1234">
        <f t="shared" ca="1" si="0"/>
        <v>0</v>
      </c>
      <c r="Q8" s="1232">
        <f t="shared" ca="1" si="1"/>
        <v>0</v>
      </c>
      <c r="R8" s="264"/>
      <c r="S8" s="264"/>
      <c r="T8" s="264"/>
      <c r="U8" s="264"/>
      <c r="V8" s="264"/>
    </row>
    <row r="9" spans="1:22" ht="15" customHeight="1" x14ac:dyDescent="0.2">
      <c r="A9" s="264"/>
      <c r="B9" s="2183" t="s">
        <v>2342</v>
      </c>
      <c r="C9" s="2184"/>
      <c r="D9" s="2184"/>
      <c r="E9" s="2184"/>
      <c r="F9" s="2184"/>
      <c r="G9" s="2185"/>
      <c r="H9" s="1757"/>
      <c r="I9" s="264"/>
      <c r="J9" s="2283" t="s">
        <v>2396</v>
      </c>
      <c r="K9" s="2284"/>
      <c r="L9" s="264"/>
      <c r="M9" s="1232">
        <v>5</v>
      </c>
      <c r="N9" s="1233" t="str">
        <f ca="1">'Список мероприятий'!$W$16&amp;"/"&amp;'Список мероприятий'!$Y$16</f>
        <v>0/</v>
      </c>
      <c r="O9" s="1232" t="str">
        <f ca="1">IFERROR(IF(P9=0,"","Замена окон квартир"),"")</f>
        <v/>
      </c>
      <c r="P9" s="1234">
        <f t="shared" ca="1" si="0"/>
        <v>0</v>
      </c>
      <c r="Q9" s="1232">
        <f t="shared" ca="1"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 ca="1">'Список мероприятий'!$W$22&amp;"/"&amp;'Список мероприятий'!$Y$22</f>
        <v>0/</v>
      </c>
      <c r="O10" s="1232" t="str">
        <f ca="1">IFERROR(IF(P10=0,"","Повыш-е теплозащ. совмещенной кровли"),"")</f>
        <v/>
      </c>
      <c r="P10" s="1234">
        <f t="shared" ca="1" si="0"/>
        <v>0</v>
      </c>
      <c r="Q10" s="1232">
        <f t="shared" ca="1" si="1"/>
        <v>0</v>
      </c>
      <c r="R10" s="264"/>
      <c r="S10" s="264"/>
      <c r="T10" s="264"/>
      <c r="U10" s="264"/>
      <c r="V10" s="264"/>
    </row>
    <row r="11" spans="1:22" ht="15" customHeight="1" x14ac:dyDescent="0.2">
      <c r="A11" s="264"/>
      <c r="B11" s="2188" t="s">
        <v>2314</v>
      </c>
      <c r="C11" s="2189"/>
      <c r="D11" s="2189"/>
      <c r="E11" s="2189"/>
      <c r="F11" s="2189"/>
      <c r="G11" s="2189"/>
      <c r="H11" s="2210"/>
      <c r="I11" s="264"/>
      <c r="J11" s="264"/>
      <c r="K11" s="264"/>
      <c r="L11" s="264"/>
      <c r="M11" s="1232">
        <v>7</v>
      </c>
      <c r="N11" s="1233" t="str">
        <f ca="1">'Список мероприятий'!$W$26&amp;"/"&amp;'Список мероприятий'!$Y$26</f>
        <v>0/</v>
      </c>
      <c r="O11" s="1232" t="str">
        <f ca="1">IFERROR(IF(P11=0,"","Устройство теплого чердака"),"")</f>
        <v/>
      </c>
      <c r="P11" s="1234">
        <f t="shared" ca="1" si="0"/>
        <v>0</v>
      </c>
      <c r="Q11" s="1232">
        <f t="shared" ca="1" si="1"/>
        <v>0</v>
      </c>
      <c r="R11" s="264"/>
      <c r="S11" s="264"/>
      <c r="T11" s="264"/>
      <c r="U11" s="264"/>
      <c r="V11" s="264"/>
    </row>
    <row r="12" spans="1:22" ht="15" customHeight="1" x14ac:dyDescent="0.2">
      <c r="A12" s="264"/>
      <c r="B12" s="2226" t="s">
        <v>2343</v>
      </c>
      <c r="C12" s="2227"/>
      <c r="D12" s="2227"/>
      <c r="E12" s="2227"/>
      <c r="F12" s="2227"/>
      <c r="G12" s="2228"/>
      <c r="H12" s="1716">
        <f>IFERROR(ROUND('Ввод исходных данных'!D302,2),"")</f>
        <v>1809.85</v>
      </c>
      <c r="I12" s="264"/>
      <c r="J12" s="264"/>
      <c r="K12" s="264"/>
      <c r="L12" s="264"/>
      <c r="M12" s="1232">
        <v>8</v>
      </c>
      <c r="N12" s="1233" t="str">
        <f ca="1">'Список мероприятий'!$W$29&amp;"/"&amp;'Список мероприятий'!$Y$29</f>
        <v>0/</v>
      </c>
      <c r="O12" s="1232" t="str">
        <f ca="1">IFERROR(IF(P12=0,"","Повыш-е теплозащ. чердачных перекрытий"),"")</f>
        <v/>
      </c>
      <c r="P12" s="1234">
        <f t="shared" ca="1" si="0"/>
        <v>0</v>
      </c>
      <c r="Q12" s="1232">
        <f t="shared" ca="1" si="1"/>
        <v>0</v>
      </c>
      <c r="R12" s="264"/>
      <c r="S12" s="264"/>
      <c r="T12" s="264"/>
      <c r="U12" s="264"/>
      <c r="V12" s="264"/>
    </row>
    <row r="13" spans="1:22" ht="15" customHeight="1" x14ac:dyDescent="0.2">
      <c r="A13" s="264"/>
      <c r="B13" s="2183" t="s">
        <v>2344</v>
      </c>
      <c r="C13" s="2184"/>
      <c r="D13" s="2184"/>
      <c r="E13" s="2184"/>
      <c r="F13" s="2184"/>
      <c r="G13" s="2185"/>
      <c r="H13" s="1717">
        <f>IFERROR(ROUND('Ввод исходных данных'!E302,2),"")</f>
        <v>3.79</v>
      </c>
      <c r="I13" s="264"/>
      <c r="J13" s="264"/>
      <c r="K13" s="264"/>
      <c r="L13" s="264"/>
      <c r="M13" s="1232">
        <v>9</v>
      </c>
      <c r="N13" s="1233" t="str">
        <f ca="1">'Список мероприятий'!$W$34&amp;"/"&amp;'Список мероприятий'!$Y$34</f>
        <v>0,132337699537918/-0,049681856453448</v>
      </c>
      <c r="O13" s="1232" t="str">
        <f ca="1">IFERROR(IF(P13=0,"","Установка узлов управления"),"")</f>
        <v>Установка узлов управления</v>
      </c>
      <c r="P13" s="1234">
        <f ca="1">Q13/SUM($Q$5:$Q$29)</f>
        <v>1</v>
      </c>
      <c r="Q13" s="1232">
        <f t="shared" ca="1" si="1"/>
        <v>316339.81931118685</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 ca="1">'Список мероприятий'!$W$36&amp;"/"&amp;'Список мероприятий'!$Y$36</f>
        <v>0/</v>
      </c>
      <c r="O14" s="1232" t="str">
        <f ca="1">IFERROR(IF(P14=0,"","Модернизация ИТП"),"")</f>
        <v/>
      </c>
      <c r="P14" s="1234">
        <f t="shared" ca="1" si="0"/>
        <v>0</v>
      </c>
      <c r="Q14" s="1232">
        <f t="shared" ca="1" si="1"/>
        <v>0</v>
      </c>
      <c r="R14" s="264"/>
      <c r="S14" s="264"/>
      <c r="T14" s="264"/>
      <c r="U14" s="264"/>
      <c r="V14" s="264"/>
    </row>
    <row r="15" spans="1:22" ht="45" customHeight="1" x14ac:dyDescent="0.2">
      <c r="A15" s="264"/>
      <c r="B15" s="2188" t="s">
        <v>2330</v>
      </c>
      <c r="C15" s="2189"/>
      <c r="D15" s="2189"/>
      <c r="E15" s="2189"/>
      <c r="F15" s="2189"/>
      <c r="G15" s="2189"/>
      <c r="H15" s="2198" t="s">
        <v>2338</v>
      </c>
      <c r="I15" s="2199"/>
      <c r="J15" s="2198" t="s">
        <v>2339</v>
      </c>
      <c r="K15" s="2199"/>
      <c r="L15" s="264"/>
      <c r="M15" s="1232">
        <v>11</v>
      </c>
      <c r="N15" s="1233" t="str">
        <f ca="1">'Список мероприятий'!$W$37&amp;"/"&amp;'Список мероприятий'!$Y$37</f>
        <v>0/</v>
      </c>
      <c r="O15" s="1232" t="str">
        <f ca="1">IFERROR(IF(P15=0,"","Установка регуляторов температуры ГВС"),"")</f>
        <v/>
      </c>
      <c r="P15" s="1234">
        <f t="shared" ca="1" si="0"/>
        <v>0</v>
      </c>
      <c r="Q15" s="1232">
        <f t="shared" ca="1" si="1"/>
        <v>0</v>
      </c>
      <c r="R15" s="264"/>
      <c r="S15" s="264"/>
      <c r="T15" s="264"/>
      <c r="U15" s="264"/>
      <c r="V15" s="264"/>
    </row>
    <row r="16" spans="1:22" ht="15" customHeight="1" x14ac:dyDescent="0.2">
      <c r="A16" s="264"/>
      <c r="B16" s="2226" t="s">
        <v>2315</v>
      </c>
      <c r="C16" s="2227"/>
      <c r="D16" s="2227"/>
      <c r="E16" s="2227"/>
      <c r="F16" s="2227"/>
      <c r="G16" s="2228"/>
      <c r="H16" s="2190">
        <f>'Список мероприятий'!BB32</f>
        <v>305266.48</v>
      </c>
      <c r="I16" s="2191"/>
      <c r="J16" s="2190">
        <f>IFERROR(H16/H5,"")</f>
        <v>67.554766752235096</v>
      </c>
      <c r="K16" s="2200"/>
      <c r="L16" s="264"/>
      <c r="M16" s="1232">
        <v>12</v>
      </c>
      <c r="N16" s="1233" t="str">
        <f ca="1">'Список мероприятий'!$W$39&amp;"/"&amp;'Список мероприятий'!$Y$39</f>
        <v>0/</v>
      </c>
      <c r="O16" s="1232" t="str">
        <f ca="1">IFERROR(IF(P16=0,"","Ремонт трубопровода СО"),"")</f>
        <v/>
      </c>
      <c r="P16" s="1234">
        <f t="shared" ca="1" si="0"/>
        <v>0</v>
      </c>
      <c r="Q16" s="1232">
        <f t="shared" ca="1" si="1"/>
        <v>0</v>
      </c>
      <c r="R16" s="264"/>
      <c r="S16" s="264"/>
      <c r="T16" s="264"/>
      <c r="U16" s="264"/>
      <c r="V16" s="264"/>
    </row>
    <row r="17" spans="1:22" ht="15" customHeight="1" x14ac:dyDescent="0.2">
      <c r="A17" s="264"/>
      <c r="B17" s="2180" t="s">
        <v>2316</v>
      </c>
      <c r="C17" s="2181"/>
      <c r="D17" s="2181"/>
      <c r="E17" s="2181"/>
      <c r="F17" s="2181"/>
      <c r="G17" s="2182"/>
      <c r="H17" s="2192"/>
      <c r="I17" s="2193"/>
      <c r="J17" s="2186">
        <f>IFERROR(H17/H5,"")</f>
        <v>0</v>
      </c>
      <c r="K17" s="2187"/>
      <c r="L17" s="264"/>
      <c r="M17" s="1232">
        <v>13</v>
      </c>
      <c r="N17" s="1233" t="str">
        <f ca="1">'Список мероприятий'!$W$40&amp;"/"&amp;'Список мероприятий'!$Y$40</f>
        <v>0/</v>
      </c>
      <c r="O17" s="1232" t="str">
        <f ca="1">IFERROR(IF(P17=0,"","Ремонт трубопровода ГВС"),"")</f>
        <v/>
      </c>
      <c r="P17" s="1234">
        <f t="shared" ca="1" si="0"/>
        <v>0</v>
      </c>
      <c r="Q17" s="1232">
        <f t="shared" ca="1" si="1"/>
        <v>0</v>
      </c>
      <c r="R17" s="264"/>
      <c r="S17" s="264"/>
      <c r="T17" s="264"/>
      <c r="U17" s="264"/>
      <c r="V17" s="264"/>
    </row>
    <row r="18" spans="1:22" ht="15" customHeight="1" x14ac:dyDescent="0.2">
      <c r="A18" s="264"/>
      <c r="B18" s="2183" t="s">
        <v>2317</v>
      </c>
      <c r="C18" s="2184"/>
      <c r="D18" s="2184"/>
      <c r="E18" s="2184"/>
      <c r="F18" s="2184"/>
      <c r="G18" s="2185"/>
      <c r="H18" s="2194">
        <f>IFERROR(H17+H16,"")</f>
        <v>305266.48</v>
      </c>
      <c r="I18" s="2195"/>
      <c r="J18" s="2194">
        <f>IFERROR(H18/H5,"")</f>
        <v>67.554766752235096</v>
      </c>
      <c r="K18" s="2201"/>
      <c r="L18" s="264"/>
      <c r="M18" s="1232">
        <v>14</v>
      </c>
      <c r="N18" s="1233" t="str">
        <f ca="1">'Список мероприятий'!$W$41&amp;"/"&amp;'Список мероприятий'!$Y$41</f>
        <v>0/</v>
      </c>
      <c r="O18" s="1232" t="str">
        <f ca="1">IFERROR(IF(P18=0,"","Устройство циркуляции ГВС"),"")</f>
        <v/>
      </c>
      <c r="P18" s="1234">
        <f t="shared" ca="1" si="0"/>
        <v>0</v>
      </c>
      <c r="Q18" s="1232">
        <f t="shared" ca="1" si="1"/>
        <v>0</v>
      </c>
      <c r="R18" s="264"/>
      <c r="S18" s="264"/>
      <c r="T18" s="264"/>
      <c r="U18" s="264"/>
      <c r="V18" s="264"/>
    </row>
    <row r="19" spans="1:22" ht="30" customHeight="1" x14ac:dyDescent="0.2">
      <c r="A19" s="264"/>
      <c r="B19" s="2197" t="str">
        <f>IF(H19="","","Справочно: стоимость дополнительных мероприятий, не относящихся
к капитальному ремонту общего имущества:")</f>
        <v/>
      </c>
      <c r="C19" s="2197"/>
      <c r="D19" s="2197"/>
      <c r="E19" s="2197"/>
      <c r="F19" s="2197"/>
      <c r="G19" s="2197"/>
      <c r="H19" s="2196" t="str">
        <f>IF('Список мероприятий'!BB33=0,"",'Список мероприятий'!BB33)</f>
        <v/>
      </c>
      <c r="I19" s="2196"/>
      <c r="J19" s="2214" t="str">
        <f>IFERROR(H19/H5,"")</f>
        <v/>
      </c>
      <c r="K19" s="2214"/>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ca="1"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ca="1" si="1"/>
        <v>0</v>
      </c>
      <c r="R20" s="264"/>
      <c r="S20" s="264"/>
      <c r="T20" s="264"/>
      <c r="U20" s="264"/>
      <c r="V20" s="264"/>
    </row>
    <row r="21" spans="1:22" ht="30" customHeight="1" x14ac:dyDescent="0.2">
      <c r="A21" s="264"/>
      <c r="B21" s="2188" t="s">
        <v>2331</v>
      </c>
      <c r="C21" s="2189"/>
      <c r="D21" s="2189"/>
      <c r="E21" s="2189"/>
      <c r="F21" s="2189"/>
      <c r="G21" s="2210"/>
      <c r="H21" s="2198" t="s">
        <v>2334</v>
      </c>
      <c r="I21" s="2199"/>
      <c r="J21" s="2198" t="s">
        <v>2335</v>
      </c>
      <c r="K21" s="2199"/>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ca="1" si="1"/>
        <v>0</v>
      </c>
      <c r="R21" s="264"/>
      <c r="S21" s="264"/>
      <c r="T21" s="264"/>
      <c r="U21" s="264"/>
      <c r="V21" s="264"/>
    </row>
    <row r="22" spans="1:22" ht="12.75" customHeight="1" x14ac:dyDescent="0.2">
      <c r="A22" s="264"/>
      <c r="B22" s="2294" t="s">
        <v>2340</v>
      </c>
      <c r="C22" s="2295"/>
      <c r="D22" s="2296"/>
      <c r="E22" s="2230" t="s">
        <v>1291</v>
      </c>
      <c r="F22" s="2231"/>
      <c r="G22" s="2232"/>
      <c r="H22" s="2215">
        <f ca="1">IFERROR(H23+H26,0)</f>
        <v>2509542.83</v>
      </c>
      <c r="I22" s="2216"/>
      <c r="J22" s="2190">
        <f ca="1">J23+J26</f>
        <v>2187536.5900000003</v>
      </c>
      <c r="K22" s="2200"/>
      <c r="L22" s="264"/>
      <c r="M22" s="1232">
        <v>18</v>
      </c>
      <c r="N22" s="1233" t="str">
        <f>'Список мероприятий'!$W$57&amp;"/"&amp;'Список мероприятий'!$Y$57</f>
        <v>/0</v>
      </c>
      <c r="O22" s="1232" t="str">
        <f ca="1">IFERROR(IF(P22=0,"","Ремонт лифта"),"")</f>
        <v/>
      </c>
      <c r="P22" s="1234">
        <f t="shared" ca="1" si="0"/>
        <v>0</v>
      </c>
      <c r="Q22" s="1232">
        <f t="shared" ca="1" si="1"/>
        <v>0</v>
      </c>
      <c r="R22" s="264"/>
      <c r="S22" s="264"/>
      <c r="T22" s="264"/>
      <c r="U22" s="264"/>
      <c r="V22" s="264"/>
    </row>
    <row r="23" spans="1:22" ht="12.75" customHeight="1" x14ac:dyDescent="0.2">
      <c r="A23" s="264"/>
      <c r="B23" s="2297"/>
      <c r="C23" s="2298"/>
      <c r="D23" s="2299"/>
      <c r="E23" s="2217" t="s">
        <v>1287</v>
      </c>
      <c r="F23" s="2218"/>
      <c r="G23" s="2219"/>
      <c r="H23" s="2186">
        <f ca="1">IFERROR(H24+H25,0)</f>
        <v>2422918.59</v>
      </c>
      <c r="I23" s="2187"/>
      <c r="J23" s="2186">
        <f ca="1">J24+J25</f>
        <v>2096608.7000000002</v>
      </c>
      <c r="K23" s="2187"/>
      <c r="L23" s="264"/>
      <c r="M23" s="1232">
        <v>19</v>
      </c>
      <c r="N23" s="1233" t="str">
        <f>'Список мероприятий'!$W$58&amp;"/"&amp;'Список мероприятий'!$Y$58</f>
        <v>/0</v>
      </c>
      <c r="O23" s="1232" t="str">
        <f ca="1">IFERROR(IF(P23=0,"","Замена лифта"),"")</f>
        <v/>
      </c>
      <c r="P23" s="1234">
        <f t="shared" ca="1" si="0"/>
        <v>0</v>
      </c>
      <c r="Q23" s="1232">
        <f t="shared" ca="1" si="1"/>
        <v>0</v>
      </c>
      <c r="R23" s="264"/>
      <c r="S23" s="264"/>
      <c r="T23" s="264"/>
      <c r="U23" s="264"/>
      <c r="V23" s="264"/>
    </row>
    <row r="24" spans="1:22" ht="12.75" customHeight="1" x14ac:dyDescent="0.2">
      <c r="A24" s="264"/>
      <c r="B24" s="2297"/>
      <c r="C24" s="2298"/>
      <c r="D24" s="2299"/>
      <c r="E24" s="2220" t="s">
        <v>1168</v>
      </c>
      <c r="F24" s="2221"/>
      <c r="G24" s="2222"/>
      <c r="H24" s="2186">
        <f ca="1">IFERROR(ROUND('Расчет базового уровня'!D13*H12,2),0)</f>
        <v>1652717.01</v>
      </c>
      <c r="I24" s="2187"/>
      <c r="J24" s="2186">
        <f ca="1">ROUND(IF(списки!C53=0,0,'Расчет после реализации'!D12/1163*H12),2)</f>
        <v>1326407.1200000001</v>
      </c>
      <c r="K24" s="2187"/>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ca="1" si="1"/>
        <v>0</v>
      </c>
      <c r="R24" s="264"/>
      <c r="S24" s="264"/>
      <c r="T24" s="264"/>
      <c r="U24" s="264"/>
      <c r="V24" s="264"/>
    </row>
    <row r="25" spans="1:22" ht="12.75" customHeight="1" x14ac:dyDescent="0.2">
      <c r="A25" s="264"/>
      <c r="B25" s="2297"/>
      <c r="C25" s="2298"/>
      <c r="D25" s="2299"/>
      <c r="E25" s="2220" t="s">
        <v>541</v>
      </c>
      <c r="F25" s="2221"/>
      <c r="G25" s="2222"/>
      <c r="H25" s="2186">
        <f ca="1">IFERROR(ROUND('Расчет базового уровня'!D16*H12,2),0)</f>
        <v>770201.58</v>
      </c>
      <c r="I25" s="2187"/>
      <c r="J25" s="2186">
        <f ca="1">ROUND(IF(списки!C53=0,0,'Расчет после реализации'!D15/1163*H12),2)</f>
        <v>770201.58</v>
      </c>
      <c r="K25" s="2187"/>
      <c r="L25" s="264"/>
      <c r="M25" s="1232">
        <v>21</v>
      </c>
      <c r="N25" s="1233" t="str">
        <f ca="1">'Список мероприятий'!$W$64&amp;"/"&amp;'Список мероприятий'!$Y$64</f>
        <v>0/</v>
      </c>
      <c r="O25" s="1232" t="str">
        <f ca="1">IFERROR(IF(P25=0,"","Повыш-е теплозащ. пола по грунту"),"")</f>
        <v/>
      </c>
      <c r="P25" s="1234">
        <f t="shared" ca="1" si="0"/>
        <v>0</v>
      </c>
      <c r="Q25" s="1232">
        <f t="shared" ca="1" si="1"/>
        <v>0</v>
      </c>
      <c r="R25" s="264"/>
      <c r="S25" s="264"/>
      <c r="T25" s="264"/>
      <c r="U25" s="264"/>
      <c r="V25" s="264"/>
    </row>
    <row r="26" spans="1:22" ht="12.75" customHeight="1" x14ac:dyDescent="0.2">
      <c r="A26" s="264"/>
      <c r="B26" s="2300"/>
      <c r="C26" s="2301"/>
      <c r="D26" s="2302"/>
      <c r="E26" s="2207" t="s">
        <v>1215</v>
      </c>
      <c r="F26" s="2208"/>
      <c r="G26" s="2209"/>
      <c r="H26" s="2194">
        <f>IFERROR(ROUND('Расчет базового уровня'!D18*H13,2),0)</f>
        <v>86624.24</v>
      </c>
      <c r="I26" s="2201"/>
      <c r="J26" s="2194">
        <f ca="1">ROUND(IF(списки!C53=0,0,'Расчет после реализации'!D18*H13),2)</f>
        <v>90927.89</v>
      </c>
      <c r="K26" s="2201"/>
      <c r="L26" s="264"/>
      <c r="M26" s="1232">
        <v>22</v>
      </c>
      <c r="N26" s="1233" t="str">
        <f ca="1">'Список мероприятий'!$W$69&amp;"/"&amp;'Список мероприятий'!$Y$69</f>
        <v>0/</v>
      </c>
      <c r="O26" s="1232" t="str">
        <f ca="1">IFERROR(IF(P26=0,"","Повыш-е теплозащ. перекрытий над подвалом"),"")</f>
        <v/>
      </c>
      <c r="P26" s="1234">
        <f t="shared" ca="1" si="0"/>
        <v>0</v>
      </c>
      <c r="Q26" s="1232">
        <f t="shared" ca="1"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 ca="1">'Список мероприятий'!$W$75&amp;"/"&amp;'Список мероприятий'!$Y$75</f>
        <v>0/</v>
      </c>
      <c r="O27" s="1232" t="str">
        <f ca="1">IFERROR(IF(P27=0,"","Утепление наружных дверей"),"")</f>
        <v/>
      </c>
      <c r="P27" s="1234">
        <f t="shared" ca="1" si="0"/>
        <v>0</v>
      </c>
      <c r="Q27" s="1232">
        <f t="shared" ca="1" si="1"/>
        <v>0</v>
      </c>
      <c r="R27" s="264"/>
      <c r="S27" s="264"/>
      <c r="T27" s="264"/>
      <c r="U27" s="264"/>
      <c r="V27" s="264"/>
    </row>
    <row r="28" spans="1:22" ht="15" customHeight="1" x14ac:dyDescent="0.2">
      <c r="A28" s="264"/>
      <c r="B28" s="2202" t="s">
        <v>2333</v>
      </c>
      <c r="C28" s="2203"/>
      <c r="D28" s="2203"/>
      <c r="E28" s="2203"/>
      <c r="F28" s="2203"/>
      <c r="G28" s="2204"/>
      <c r="H28" s="1718">
        <f ca="1">IFERROR(H30*H13,"")</f>
        <v>4303.6530570690311</v>
      </c>
      <c r="I28" s="264"/>
      <c r="J28" s="2292" t="str">
        <f>IF('Система ГВС'!F20=1,IF('Список мероприятий'!AB36=0,"Поскольку МКД получает горячую воду от ЦТП, экономия теплоэнергии на ГВС рассчитана косвенно по водоразбору.",""),"")</f>
        <v/>
      </c>
      <c r="K28" s="2292"/>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ca="1" si="1"/>
        <v>0</v>
      </c>
      <c r="R28" s="264"/>
      <c r="S28" s="264"/>
      <c r="T28" s="264"/>
      <c r="U28" s="264"/>
      <c r="V28" s="264"/>
    </row>
    <row r="29" spans="1:22" ht="45" customHeight="1" x14ac:dyDescent="0.2">
      <c r="A29" s="264"/>
      <c r="B29" s="2180" t="s">
        <v>2345</v>
      </c>
      <c r="C29" s="2181"/>
      <c r="D29" s="2181"/>
      <c r="E29" s="2181"/>
      <c r="F29" s="2181"/>
      <c r="G29" s="2182"/>
      <c r="H29" s="1719">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292"/>
      <c r="K29" s="2292"/>
      <c r="L29" s="264"/>
      <c r="M29" s="1232">
        <v>25</v>
      </c>
      <c r="N29" s="1233" t="str">
        <f>'Список мероприятий'!$W$80&amp;"/"&amp;'Список мероприятий'!$Y$80</f>
        <v>/0</v>
      </c>
      <c r="O29" s="1232" t="str">
        <f ca="1">IFERROR(IF(P29=0,"","Установка датчиков движения"),"")</f>
        <v/>
      </c>
      <c r="P29" s="1234">
        <f t="shared" ca="1" si="0"/>
        <v>0</v>
      </c>
      <c r="Q29" s="1232">
        <f t="shared" ca="1" si="1"/>
        <v>0</v>
      </c>
      <c r="R29" s="264"/>
      <c r="S29" s="264"/>
      <c r="T29" s="264"/>
      <c r="U29" s="264"/>
      <c r="V29" s="264"/>
    </row>
    <row r="30" spans="1:22" ht="30" customHeight="1" x14ac:dyDescent="0.2">
      <c r="A30" s="264"/>
      <c r="B30" s="2183" t="s">
        <v>2332</v>
      </c>
      <c r="C30" s="2184"/>
      <c r="D30" s="2184"/>
      <c r="E30" s="2184"/>
      <c r="F30" s="2184"/>
      <c r="G30" s="2185"/>
      <c r="H30" s="1720">
        <f ca="1">IF(списки!C53=0,"",IF('Расчет после реализации'!D108&gt;'Расчет после реализации'!C108,'Расчет после реализации'!D108-'Расчет после реализации'!C108,0))</f>
        <v>1135.5285111000082</v>
      </c>
      <c r="I30" s="2212" t="str">
        <f ca="1">IF('Ввод исходных данных'!E323="Ошибок нет","","Экономия не расчитана, так как имеются ошибки ввода исходных данных.")</f>
        <v/>
      </c>
      <c r="J30" s="2213"/>
      <c r="K30" s="2213"/>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02" t="s">
        <v>2336</v>
      </c>
      <c r="C32" s="2203"/>
      <c r="D32" s="2203"/>
      <c r="E32" s="2203"/>
      <c r="F32" s="2203"/>
      <c r="G32" s="2204"/>
      <c r="H32" s="1721">
        <f ca="1">ROUND(IF(списки!C49=1,0,H33*(H22)),2)</f>
        <v>321974.34999999998</v>
      </c>
      <c r="I32" s="1706"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05" t="s">
        <v>2337</v>
      </c>
      <c r="C33" s="2206"/>
      <c r="D33" s="2206"/>
      <c r="E33" s="2206"/>
      <c r="F33" s="2206"/>
      <c r="G33" s="2206"/>
      <c r="H33" s="1722">
        <f ca="1">IFERROR(ROUND(IF(списки!C53=0,"",1-J22/H22),4),"")</f>
        <v>0.1283</v>
      </c>
      <c r="I33" s="2211" t="str">
        <f ca="1">IF(H33&lt;0.1,"Выбранных мероприятий будет недостаточно для достижения существенного показателя экономии!","")</f>
        <v/>
      </c>
      <c r="J33" s="2179"/>
      <c r="K33" s="2179"/>
      <c r="L33" s="2179"/>
      <c r="M33" s="2179"/>
      <c r="N33" s="2179"/>
      <c r="O33" s="2179"/>
      <c r="P33" s="264"/>
      <c r="Q33" s="264"/>
      <c r="R33" s="264"/>
      <c r="S33" s="264"/>
      <c r="T33" s="264"/>
      <c r="U33" s="264"/>
      <c r="V33" s="264"/>
    </row>
    <row r="34" spans="1:22" ht="15" customHeight="1" x14ac:dyDescent="0.2">
      <c r="A34" s="264"/>
      <c r="B34" s="2180" t="s">
        <v>2353</v>
      </c>
      <c r="C34" s="2181"/>
      <c r="D34" s="2181"/>
      <c r="E34" s="2181"/>
      <c r="F34" s="2181"/>
      <c r="G34" s="2182"/>
      <c r="H34" s="1723">
        <f ca="1">IFERROR(IF(OR(списки!C51=1,H16&lt;=0),"",H16/H32),"")</f>
        <v>0.94810807134170783</v>
      </c>
      <c r="I34" s="1707" t="str">
        <f>IF(H16&gt;0,"","← Укажите стоимость выбранных мероприятий по энергосбережению!")</f>
        <v/>
      </c>
      <c r="J34" s="264"/>
      <c r="K34" s="264"/>
      <c r="L34" s="264"/>
      <c r="M34" s="264"/>
      <c r="N34" s="264"/>
      <c r="O34" s="264"/>
      <c r="P34" s="264"/>
      <c r="Q34" s="264"/>
      <c r="R34" s="264"/>
      <c r="S34" s="264"/>
      <c r="T34" s="264"/>
      <c r="U34" s="264"/>
      <c r="V34" s="264"/>
    </row>
    <row r="35" spans="1:22" ht="15" customHeight="1" x14ac:dyDescent="0.2">
      <c r="A35" s="264"/>
      <c r="B35" s="2180" t="s">
        <v>2499</v>
      </c>
      <c r="C35" s="2181"/>
      <c r="D35" s="2181"/>
      <c r="E35" s="2181"/>
      <c r="F35" s="2181"/>
      <c r="G35" s="2182"/>
      <c r="H35" s="1715" t="str">
        <f ca="1">IFERROR(CONCATENATE(IFERROR(INDEX('классы ЭЭ и выбросы ПГ'!C27:D35,MATCH(1,'классы ЭЭ и выбросы ПГ'!D27:D35,0),1),"")," → ",'классы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F → E</v>
      </c>
      <c r="I35" s="1706" t="str">
        <f ca="1">IF(IFERROR(MATCH(1,'классы ЭЭ и выбросы ПГ'!D27:D35,0)&lt;MATCH(CONCATENATE('классы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ПГ'!AS32),'классы ЭЭ и выбросы ПГ'!C27:C35,0),FALSE),"← Класс энергоэффективности после проведения работ повысится!","")</f>
        <v/>
      </c>
      <c r="J35" s="264"/>
      <c r="K35" s="264"/>
      <c r="L35" s="1660"/>
      <c r="M35" s="264"/>
      <c r="N35" s="264"/>
      <c r="O35" s="264"/>
      <c r="P35" s="264"/>
      <c r="Q35" s="264"/>
      <c r="R35" s="264"/>
      <c r="S35" s="264"/>
      <c r="T35" s="264"/>
      <c r="U35" s="264"/>
      <c r="V35" s="264"/>
    </row>
    <row r="36" spans="1:22" ht="15" customHeight="1" x14ac:dyDescent="0.2">
      <c r="A36" s="264"/>
      <c r="B36" s="2183" t="s">
        <v>2393</v>
      </c>
      <c r="C36" s="2184"/>
      <c r="D36" s="2184"/>
      <c r="E36" s="2184"/>
      <c r="F36" s="2184"/>
      <c r="G36" s="2185"/>
      <c r="H36" s="1724">
        <f ca="1">IFERROR('классы ЭЭ и выбросы ПГ'!E44+'классы ЭЭ и выбросы ПГ'!F44-'классы ЭЭ и выбросы ПГ'!G44-'классы ЭЭ и выбросы ПГ'!H44,"")</f>
        <v>73.073054284227624</v>
      </c>
      <c r="I36" s="1706" t="str">
        <f ca="1">IFERROR(IF('классы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СО2-экв в год"),"")),"")</f>
        <v>← Выбросы парниковых газов после проведения работ составят: 488,8 тонн СО2-экв в год</v>
      </c>
      <c r="J36" s="264"/>
      <c r="K36" s="264"/>
      <c r="L36" s="264"/>
      <c r="M36" s="264"/>
      <c r="N36" s="264"/>
      <c r="O36" s="264"/>
      <c r="P36" s="264"/>
      <c r="Q36" s="264"/>
      <c r="R36" s="264"/>
      <c r="S36" s="264"/>
      <c r="T36" s="264"/>
      <c r="U36" s="264"/>
      <c r="V36" s="264"/>
    </row>
    <row r="37" spans="1:22" ht="15" customHeight="1" x14ac:dyDescent="0.2">
      <c r="A37" s="264"/>
      <c r="B37" s="1707"/>
      <c r="C37" s="1707"/>
      <c r="D37" s="1707"/>
      <c r="E37" s="1707"/>
      <c r="F37" s="1707"/>
      <c r="G37" s="1707"/>
      <c r="H37" s="1707"/>
      <c r="I37" s="1707"/>
      <c r="J37" s="264"/>
      <c r="K37" s="264"/>
      <c r="L37" s="264"/>
      <c r="M37" s="264"/>
      <c r="N37" s="264"/>
      <c r="O37" s="264"/>
      <c r="P37" s="264"/>
      <c r="Q37" s="264"/>
      <c r="R37" s="264"/>
      <c r="S37" s="264"/>
      <c r="T37" s="264"/>
      <c r="U37" s="264"/>
      <c r="V37" s="264"/>
    </row>
    <row r="38" spans="1:22" ht="39" customHeight="1" x14ac:dyDescent="0.2">
      <c r="A38" s="264"/>
      <c r="B38" s="2188" t="s">
        <v>2397</v>
      </c>
      <c r="C38" s="2189"/>
      <c r="D38" s="2189"/>
      <c r="E38" s="2210"/>
      <c r="F38" s="1707"/>
      <c r="G38" s="1707"/>
      <c r="H38" s="1707"/>
      <c r="I38" s="1707"/>
      <c r="J38" s="264"/>
      <c r="K38" s="264"/>
      <c r="L38" s="264"/>
      <c r="M38" s="264"/>
      <c r="N38" s="264"/>
      <c r="O38" s="264"/>
      <c r="P38" s="264"/>
      <c r="Q38" s="264"/>
      <c r="R38" s="264"/>
      <c r="S38" s="264"/>
      <c r="T38" s="264"/>
      <c r="U38" s="264"/>
      <c r="V38" s="264"/>
    </row>
    <row r="39" spans="1:22" ht="23.45" customHeight="1" thickBot="1" x14ac:dyDescent="0.25">
      <c r="A39" s="264"/>
      <c r="B39" s="2244" t="s">
        <v>2394</v>
      </c>
      <c r="C39" s="2245"/>
      <c r="D39" s="2245"/>
      <c r="E39" s="2246"/>
      <c r="F39" s="1707"/>
      <c r="G39" s="1707"/>
      <c r="H39" s="1707"/>
      <c r="I39" s="1707"/>
      <c r="J39" s="264"/>
      <c r="K39" s="264"/>
      <c r="L39" s="264"/>
      <c r="M39" s="264"/>
      <c r="N39" s="264"/>
      <c r="O39" s="264"/>
      <c r="P39" s="264"/>
      <c r="Q39" s="264"/>
      <c r="R39" s="264"/>
      <c r="S39" s="264"/>
      <c r="T39" s="264"/>
      <c r="U39" s="264"/>
      <c r="V39" s="264"/>
    </row>
    <row r="40" spans="1:22" ht="23.45" customHeight="1" thickTop="1" thickBot="1" x14ac:dyDescent="0.25">
      <c r="A40" s="264"/>
      <c r="B40" s="2247" t="s">
        <v>2395</v>
      </c>
      <c r="C40" s="2248"/>
      <c r="D40" s="2248"/>
      <c r="E40" s="2249"/>
      <c r="F40" s="1707"/>
      <c r="G40" s="1707"/>
      <c r="H40" s="1707"/>
      <c r="I40" s="1707"/>
      <c r="J40" s="264"/>
      <c r="K40" s="264"/>
      <c r="L40" s="264"/>
      <c r="M40" s="264"/>
      <c r="N40" s="264"/>
      <c r="O40" s="264"/>
      <c r="P40" s="264"/>
      <c r="Q40" s="264"/>
      <c r="R40" s="264"/>
      <c r="S40" s="264"/>
      <c r="T40" s="264"/>
      <c r="U40" s="264"/>
      <c r="V40" s="264"/>
    </row>
    <row r="41" spans="1:22" ht="23.45" customHeight="1" thickTop="1" thickBot="1" x14ac:dyDescent="0.25">
      <c r="A41" s="264"/>
      <c r="B41" s="2250" t="s">
        <v>1788</v>
      </c>
      <c r="C41" s="2251"/>
      <c r="D41" s="2251"/>
      <c r="E41" s="2252"/>
      <c r="F41" s="1707"/>
      <c r="G41" s="1707"/>
      <c r="H41" s="1707"/>
      <c r="I41" s="1707"/>
      <c r="J41" s="264"/>
      <c r="K41" s="264"/>
      <c r="L41" s="264"/>
      <c r="M41" s="264"/>
      <c r="N41" s="264"/>
      <c r="O41" s="264"/>
      <c r="P41" s="264"/>
      <c r="Q41" s="264"/>
      <c r="R41" s="264"/>
      <c r="S41" s="264"/>
      <c r="T41" s="264"/>
      <c r="U41" s="264"/>
      <c r="V41" s="264"/>
    </row>
    <row r="42" spans="1:22" ht="23.45" customHeight="1" thickTop="1" thickBot="1" x14ac:dyDescent="0.25">
      <c r="A42" s="264"/>
      <c r="B42" s="2253" t="s">
        <v>1789</v>
      </c>
      <c r="C42" s="2254"/>
      <c r="D42" s="2254"/>
      <c r="E42" s="2255"/>
      <c r="F42" s="1707"/>
      <c r="G42" s="1707"/>
      <c r="H42" s="1707"/>
      <c r="I42" s="1707"/>
      <c r="J42" s="264"/>
      <c r="K42" s="264"/>
      <c r="L42" s="264"/>
      <c r="M42" s="264"/>
      <c r="N42" s="264"/>
      <c r="O42" s="264"/>
      <c r="P42" s="264"/>
      <c r="Q42" s="264"/>
      <c r="R42" s="264"/>
      <c r="S42" s="264"/>
      <c r="T42" s="264"/>
      <c r="U42" s="264"/>
      <c r="V42" s="264"/>
    </row>
    <row r="43" spans="1:22" ht="23.45" customHeight="1" thickTop="1" thickBot="1" x14ac:dyDescent="0.25">
      <c r="A43" s="264"/>
      <c r="B43" s="2256" t="s">
        <v>1790</v>
      </c>
      <c r="C43" s="2257"/>
      <c r="D43" s="2257"/>
      <c r="E43" s="2258"/>
      <c r="F43" s="1707"/>
      <c r="G43" s="1707"/>
      <c r="H43" s="1707"/>
      <c r="I43" s="1707"/>
      <c r="J43" s="264"/>
      <c r="K43" s="264"/>
      <c r="L43" s="264"/>
      <c r="M43" s="264"/>
      <c r="N43" s="264"/>
      <c r="O43" s="264"/>
      <c r="P43" s="264"/>
      <c r="Q43" s="264"/>
      <c r="R43" s="264"/>
      <c r="S43" s="264"/>
      <c r="T43" s="264"/>
      <c r="U43" s="264"/>
      <c r="V43" s="264"/>
    </row>
    <row r="44" spans="1:22" ht="23.45" customHeight="1" thickTop="1" thickBot="1" x14ac:dyDescent="0.25">
      <c r="A44" s="264"/>
      <c r="B44" s="2259" t="s">
        <v>1791</v>
      </c>
      <c r="C44" s="2260"/>
      <c r="D44" s="2260"/>
      <c r="E44" s="2261"/>
      <c r="F44" s="1707"/>
      <c r="G44" s="1707"/>
      <c r="H44" s="1707"/>
      <c r="I44" s="1707"/>
      <c r="J44" s="264"/>
      <c r="K44" s="264"/>
      <c r="L44" s="264"/>
      <c r="M44" s="264"/>
      <c r="N44" s="264"/>
      <c r="O44" s="264"/>
      <c r="P44" s="264"/>
      <c r="Q44" s="264"/>
      <c r="R44" s="264"/>
      <c r="S44" s="264"/>
      <c r="T44" s="264"/>
      <c r="U44" s="264"/>
      <c r="V44" s="264"/>
    </row>
    <row r="45" spans="1:22" ht="23.45" customHeight="1" thickTop="1" thickBot="1" x14ac:dyDescent="0.25">
      <c r="A45" s="264"/>
      <c r="B45" s="2262" t="s">
        <v>1792</v>
      </c>
      <c r="C45" s="2263"/>
      <c r="D45" s="2263"/>
      <c r="E45" s="2264"/>
      <c r="F45" s="1707"/>
      <c r="G45" s="1707"/>
      <c r="H45" s="1707"/>
      <c r="I45" s="1707"/>
      <c r="J45" s="264"/>
      <c r="K45" s="264"/>
      <c r="L45" s="264"/>
      <c r="M45" s="264"/>
      <c r="N45" s="264"/>
      <c r="O45" s="264"/>
      <c r="P45" s="264"/>
      <c r="Q45" s="264"/>
      <c r="R45" s="264"/>
      <c r="S45" s="264"/>
      <c r="T45" s="264"/>
      <c r="U45" s="264"/>
      <c r="V45" s="264"/>
    </row>
    <row r="46" spans="1:22" ht="23.45" customHeight="1" thickTop="1" thickBot="1" x14ac:dyDescent="0.25">
      <c r="A46" s="264"/>
      <c r="B46" s="2265" t="s">
        <v>1793</v>
      </c>
      <c r="C46" s="2266"/>
      <c r="D46" s="2266"/>
      <c r="E46" s="2267"/>
      <c r="F46" s="1707"/>
      <c r="G46" s="1707"/>
      <c r="H46" s="1707"/>
      <c r="I46" s="1707"/>
      <c r="J46" s="264"/>
      <c r="K46" s="264"/>
      <c r="L46" s="264"/>
      <c r="M46" s="264"/>
      <c r="N46" s="264"/>
      <c r="O46" s="264"/>
      <c r="P46" s="264"/>
      <c r="Q46" s="264"/>
      <c r="R46" s="264"/>
      <c r="S46" s="264"/>
      <c r="T46" s="264"/>
      <c r="U46" s="264"/>
      <c r="V46" s="264"/>
    </row>
    <row r="47" spans="1:22" ht="23.45" customHeight="1" thickTop="1" thickBot="1" x14ac:dyDescent="0.25">
      <c r="A47" s="264"/>
      <c r="B47" s="2268" t="s">
        <v>1794</v>
      </c>
      <c r="C47" s="2269"/>
      <c r="D47" s="2269"/>
      <c r="E47" s="2270"/>
      <c r="F47" s="1707"/>
      <c r="G47" s="1707"/>
      <c r="H47" s="1707"/>
      <c r="I47" s="1707"/>
      <c r="J47" s="264"/>
      <c r="K47" s="264"/>
      <c r="L47" s="264"/>
      <c r="M47" s="264"/>
      <c r="N47" s="264"/>
      <c r="O47" s="264"/>
      <c r="P47" s="264"/>
      <c r="Q47" s="264"/>
      <c r="R47" s="264"/>
      <c r="S47" s="264"/>
      <c r="T47" s="264"/>
      <c r="U47" s="264"/>
      <c r="V47" s="264"/>
    </row>
    <row r="48" spans="1:22" ht="15" customHeight="1" thickTop="1" x14ac:dyDescent="0.2">
      <c r="A48" s="264"/>
      <c r="B48" s="2271" t="s">
        <v>2398</v>
      </c>
      <c r="C48" s="2271"/>
      <c r="D48" s="2271"/>
      <c r="E48" s="2271"/>
      <c r="F48" s="1707"/>
      <c r="G48" s="1707"/>
      <c r="H48" s="1707"/>
      <c r="I48" s="1707"/>
      <c r="J48" s="264"/>
      <c r="K48" s="264"/>
      <c r="L48" s="264"/>
      <c r="M48" s="264"/>
      <c r="N48" s="264"/>
      <c r="O48" s="264"/>
      <c r="P48" s="264"/>
      <c r="Q48" s="264"/>
      <c r="R48" s="264"/>
      <c r="S48" s="264"/>
      <c r="T48" s="264"/>
      <c r="U48" s="264"/>
      <c r="V48" s="264"/>
    </row>
    <row r="49" spans="1:22" ht="15" customHeight="1" x14ac:dyDescent="0.2">
      <c r="A49" s="264"/>
      <c r="B49" s="1707"/>
      <c r="C49" s="1707"/>
      <c r="D49" s="1707"/>
      <c r="E49" s="1707"/>
      <c r="F49" s="1707"/>
      <c r="G49" s="1707"/>
      <c r="H49" s="1707"/>
      <c r="I49" s="1707"/>
      <c r="J49" s="264"/>
      <c r="K49" s="264"/>
      <c r="L49" s="264"/>
      <c r="M49" s="264"/>
      <c r="N49" s="264"/>
      <c r="O49" s="264"/>
      <c r="P49" s="264"/>
      <c r="Q49" s="264"/>
      <c r="R49" s="264"/>
      <c r="S49" s="264"/>
      <c r="T49" s="264"/>
      <c r="U49" s="264"/>
      <c r="V49" s="264"/>
    </row>
    <row r="50" spans="1:22" ht="15" customHeight="1" x14ac:dyDescent="0.2">
      <c r="A50" s="264"/>
      <c r="B50" s="1707"/>
      <c r="C50" s="1707"/>
      <c r="D50" s="1707"/>
      <c r="E50" s="1707"/>
      <c r="F50" s="1707"/>
      <c r="G50" s="1707"/>
      <c r="H50" s="1707"/>
      <c r="I50" s="1707"/>
      <c r="J50" s="264"/>
      <c r="K50" s="264"/>
      <c r="L50" s="264"/>
      <c r="M50" s="264"/>
      <c r="N50" s="264"/>
      <c r="O50" s="264"/>
      <c r="P50" s="264"/>
      <c r="Q50" s="264"/>
      <c r="R50" s="264"/>
      <c r="S50" s="264"/>
      <c r="T50" s="264"/>
      <c r="U50" s="264"/>
      <c r="V50" s="264"/>
    </row>
    <row r="51" spans="1:22" ht="15" customHeight="1" x14ac:dyDescent="0.2">
      <c r="A51" s="264"/>
      <c r="B51" s="1707"/>
      <c r="C51" s="1707"/>
      <c r="D51" s="1707"/>
      <c r="E51" s="1707"/>
      <c r="F51" s="1707"/>
      <c r="G51" s="1707"/>
      <c r="H51" s="1707"/>
      <c r="I51" s="1707"/>
      <c r="J51" s="264"/>
      <c r="K51" s="264"/>
      <c r="L51" s="264"/>
      <c r="M51" s="264"/>
      <c r="N51" s="264"/>
      <c r="O51" s="264"/>
      <c r="P51" s="264"/>
      <c r="Q51" s="264"/>
      <c r="R51" s="264"/>
      <c r="S51" s="264"/>
      <c r="T51" s="264"/>
      <c r="U51" s="264"/>
      <c r="V51" s="264"/>
    </row>
    <row r="52" spans="1:22" ht="15" customHeight="1" x14ac:dyDescent="0.2">
      <c r="A52" s="264"/>
      <c r="B52" s="1707"/>
      <c r="C52" s="1707"/>
      <c r="D52" s="1707"/>
      <c r="E52" s="1707"/>
      <c r="F52" s="1707"/>
      <c r="G52" s="1707"/>
      <c r="H52" s="1707"/>
      <c r="I52" s="1707"/>
      <c r="J52" s="264"/>
      <c r="K52" s="264"/>
      <c r="L52" s="264"/>
      <c r="M52" s="264"/>
      <c r="N52" s="264"/>
      <c r="O52" s="264"/>
      <c r="P52" s="264"/>
      <c r="Q52" s="264"/>
      <c r="R52" s="264"/>
      <c r="S52" s="264"/>
      <c r="T52" s="264"/>
      <c r="U52" s="264"/>
      <c r="V52" s="264"/>
    </row>
    <row r="53" spans="1:22" ht="15" customHeight="1" x14ac:dyDescent="0.2">
      <c r="A53" s="264"/>
      <c r="B53" s="1707"/>
      <c r="C53" s="1707"/>
      <c r="D53" s="1707"/>
      <c r="E53" s="1707"/>
      <c r="F53" s="1707"/>
      <c r="G53" s="1707"/>
      <c r="H53" s="1707"/>
      <c r="I53" s="1707"/>
      <c r="J53" s="264"/>
      <c r="K53" s="264"/>
      <c r="L53" s="264"/>
      <c r="M53" s="264"/>
      <c r="N53" s="264"/>
      <c r="O53" s="264"/>
      <c r="P53" s="264"/>
      <c r="Q53" s="264"/>
      <c r="R53" s="264"/>
      <c r="S53" s="264"/>
      <c r="T53" s="264"/>
      <c r="U53" s="264"/>
      <c r="V53" s="264"/>
    </row>
    <row r="54" spans="1:22" ht="15" customHeight="1" x14ac:dyDescent="0.2">
      <c r="A54" s="264"/>
      <c r="B54" s="1707"/>
      <c r="C54" s="1707"/>
      <c r="D54" s="1707"/>
      <c r="E54" s="1707"/>
      <c r="F54" s="1707"/>
      <c r="G54" s="1707"/>
      <c r="H54" s="1707"/>
      <c r="I54" s="1707"/>
      <c r="J54" s="264"/>
      <c r="K54" s="264"/>
      <c r="L54" s="264"/>
      <c r="M54" s="264"/>
      <c r="N54" s="264"/>
      <c r="O54" s="264"/>
      <c r="P54" s="264"/>
      <c r="Q54" s="264"/>
      <c r="R54" s="264"/>
      <c r="S54" s="264"/>
      <c r="T54" s="264"/>
      <c r="U54" s="264"/>
      <c r="V54" s="264"/>
    </row>
    <row r="55" spans="1:22" ht="15" customHeight="1" x14ac:dyDescent="0.2">
      <c r="A55" s="264"/>
      <c r="B55" s="1707"/>
      <c r="C55" s="1707"/>
      <c r="D55" s="1707"/>
      <c r="E55" s="1707"/>
      <c r="F55" s="1707"/>
      <c r="G55" s="1707"/>
      <c r="H55" s="1707"/>
      <c r="I55" s="1707"/>
      <c r="J55" s="264"/>
      <c r="K55" s="264"/>
      <c r="L55" s="264"/>
      <c r="M55" s="264"/>
      <c r="N55" s="264"/>
      <c r="O55" s="264"/>
      <c r="P55" s="264"/>
      <c r="Q55" s="264"/>
      <c r="R55" s="264"/>
      <c r="S55" s="264"/>
      <c r="T55" s="264"/>
      <c r="U55" s="264"/>
      <c r="V55" s="264"/>
    </row>
    <row r="56" spans="1:22" ht="15" customHeight="1" x14ac:dyDescent="0.2">
      <c r="A56" s="264"/>
      <c r="B56" s="1707"/>
      <c r="C56" s="1707"/>
      <c r="D56" s="1707"/>
      <c r="E56" s="1707"/>
      <c r="F56" s="1707"/>
      <c r="G56" s="1707"/>
      <c r="H56" s="1707"/>
      <c r="I56" s="1707"/>
      <c r="J56" s="264"/>
      <c r="K56" s="264"/>
      <c r="L56" s="264"/>
      <c r="M56" s="264"/>
      <c r="N56" s="264"/>
      <c r="O56" s="264"/>
      <c r="P56" s="264"/>
      <c r="Q56" s="264"/>
      <c r="R56" s="264"/>
      <c r="S56" s="264"/>
      <c r="T56" s="264"/>
      <c r="U56" s="264"/>
      <c r="V56" s="264"/>
    </row>
    <row r="57" spans="1:22" ht="15" customHeight="1" x14ac:dyDescent="0.2">
      <c r="A57" s="264"/>
      <c r="B57" s="1707"/>
      <c r="C57" s="1707"/>
      <c r="D57" s="1707"/>
      <c r="E57" s="1707"/>
      <c r="F57" s="1707"/>
      <c r="G57" s="1707"/>
      <c r="H57" s="1707"/>
      <c r="I57" s="1707"/>
      <c r="J57" s="264"/>
      <c r="K57" s="264"/>
      <c r="L57" s="264"/>
      <c r="M57" s="264"/>
      <c r="N57" s="264"/>
      <c r="O57" s="264"/>
      <c r="P57" s="264"/>
      <c r="Q57" s="264"/>
      <c r="R57" s="264"/>
      <c r="S57" s="264"/>
      <c r="T57" s="264"/>
      <c r="U57" s="264"/>
      <c r="V57" s="264"/>
    </row>
    <row r="58" spans="1:22" ht="15" customHeight="1" x14ac:dyDescent="0.2">
      <c r="A58" s="264"/>
      <c r="B58" s="1707"/>
      <c r="C58" s="1707"/>
      <c r="D58" s="1707"/>
      <c r="E58" s="1707"/>
      <c r="F58" s="1707"/>
      <c r="G58" s="1707"/>
      <c r="H58" s="1707"/>
      <c r="I58" s="1707"/>
      <c r="J58" s="264"/>
      <c r="K58" s="264"/>
      <c r="L58" s="264"/>
      <c r="M58" s="264"/>
      <c r="N58" s="264"/>
      <c r="O58" s="264"/>
      <c r="P58" s="264"/>
      <c r="Q58" s="264"/>
      <c r="R58" s="264"/>
      <c r="S58" s="264"/>
      <c r="T58" s="264"/>
      <c r="U58" s="264"/>
      <c r="V58" s="264"/>
    </row>
    <row r="59" spans="1:22" ht="15" customHeight="1" x14ac:dyDescent="0.2">
      <c r="A59" s="264"/>
      <c r="B59" s="1707"/>
      <c r="C59" s="1707"/>
      <c r="D59" s="1707"/>
      <c r="E59" s="1707"/>
      <c r="F59" s="1707"/>
      <c r="G59" s="1707"/>
      <c r="H59" s="1707"/>
      <c r="I59" s="1707"/>
      <c r="J59" s="264"/>
      <c r="K59" s="264"/>
      <c r="L59" s="264"/>
      <c r="M59" s="264"/>
      <c r="N59" s="264"/>
      <c r="O59" s="264"/>
      <c r="P59" s="264"/>
      <c r="Q59" s="264"/>
      <c r="R59" s="264"/>
      <c r="S59" s="264"/>
      <c r="T59" s="264"/>
      <c r="U59" s="264"/>
      <c r="V59" s="264"/>
    </row>
    <row r="60" spans="1:22" ht="15" customHeight="1" x14ac:dyDescent="0.2">
      <c r="A60" s="264"/>
      <c r="B60" s="1707"/>
      <c r="C60" s="1707"/>
      <c r="D60" s="1707"/>
      <c r="E60" s="1707"/>
      <c r="F60" s="1707"/>
      <c r="G60" s="1707"/>
      <c r="H60" s="1707"/>
      <c r="I60" s="1707"/>
      <c r="J60" s="264"/>
      <c r="K60" s="264"/>
      <c r="L60" s="264"/>
      <c r="M60" s="264"/>
      <c r="N60" s="264"/>
      <c r="O60" s="264"/>
      <c r="P60" s="264"/>
      <c r="Q60" s="264"/>
      <c r="R60" s="264"/>
      <c r="S60" s="264"/>
      <c r="T60" s="264"/>
      <c r="U60" s="264"/>
      <c r="V60" s="264"/>
    </row>
    <row r="61" spans="1:22" ht="15" customHeight="1" x14ac:dyDescent="0.2">
      <c r="A61" s="264"/>
      <c r="B61" s="1707"/>
      <c r="C61" s="1707"/>
      <c r="D61" s="1707"/>
      <c r="E61" s="1707"/>
      <c r="F61" s="1707"/>
      <c r="G61" s="1707"/>
      <c r="H61" s="1707"/>
      <c r="I61" s="1707"/>
      <c r="J61" s="264"/>
      <c r="K61" s="264"/>
      <c r="L61" s="264"/>
      <c r="M61" s="264"/>
      <c r="N61" s="264"/>
      <c r="O61" s="264"/>
      <c r="P61" s="264"/>
      <c r="Q61" s="264"/>
      <c r="R61" s="264"/>
      <c r="S61" s="264"/>
      <c r="T61" s="264"/>
      <c r="U61" s="264"/>
      <c r="V61" s="264"/>
    </row>
    <row r="62" spans="1:22" ht="15" customHeight="1" x14ac:dyDescent="0.2">
      <c r="A62" s="264"/>
      <c r="B62" s="1707"/>
      <c r="C62" s="1707"/>
      <c r="D62" s="1707"/>
      <c r="E62" s="1707"/>
      <c r="F62" s="1707"/>
      <c r="G62" s="1707"/>
      <c r="H62" s="1707"/>
      <c r="I62" s="1707"/>
      <c r="J62" s="264"/>
      <c r="K62" s="264"/>
      <c r="L62" s="264"/>
      <c r="M62" s="264"/>
      <c r="N62" s="264"/>
      <c r="O62" s="264"/>
      <c r="P62" s="264"/>
      <c r="Q62" s="264"/>
      <c r="R62" s="264"/>
      <c r="S62" s="264"/>
      <c r="T62" s="264"/>
      <c r="U62" s="264"/>
      <c r="V62" s="264"/>
    </row>
    <row r="63" spans="1:22" ht="15" customHeight="1" x14ac:dyDescent="0.2">
      <c r="A63" s="264"/>
      <c r="B63" s="1707"/>
      <c r="C63" s="1707"/>
      <c r="D63" s="1707"/>
      <c r="E63" s="1707"/>
      <c r="F63" s="1707"/>
      <c r="G63" s="1707"/>
      <c r="H63" s="1707"/>
      <c r="I63" s="1707"/>
      <c r="J63" s="264"/>
      <c r="K63" s="264"/>
      <c r="L63" s="264"/>
      <c r="M63" s="264"/>
      <c r="N63" s="264"/>
      <c r="O63" s="264"/>
      <c r="P63" s="264"/>
      <c r="Q63" s="264"/>
      <c r="R63" s="264"/>
      <c r="S63" s="264"/>
      <c r="T63" s="264"/>
      <c r="U63" s="264"/>
      <c r="V63" s="264"/>
    </row>
    <row r="64" spans="1:22" ht="15" customHeight="1" x14ac:dyDescent="0.2">
      <c r="A64" s="264"/>
      <c r="B64" s="1707"/>
      <c r="C64" s="1707"/>
      <c r="D64" s="1707"/>
      <c r="E64" s="1707"/>
      <c r="F64" s="1707"/>
      <c r="G64" s="1707"/>
      <c r="H64" s="1707"/>
      <c r="I64" s="1707"/>
      <c r="J64" s="264"/>
      <c r="K64" s="264"/>
      <c r="L64" s="264"/>
      <c r="M64" s="264"/>
      <c r="N64" s="264"/>
      <c r="O64" s="264"/>
      <c r="P64" s="264"/>
      <c r="Q64" s="264"/>
      <c r="R64" s="264"/>
      <c r="S64" s="264"/>
      <c r="T64" s="264"/>
      <c r="U64" s="264"/>
      <c r="V64" s="264"/>
    </row>
    <row r="65" spans="1:22" ht="15" customHeight="1" x14ac:dyDescent="0.2">
      <c r="A65" s="264"/>
      <c r="B65" s="1707"/>
      <c r="C65" s="1707"/>
      <c r="D65" s="1707"/>
      <c r="E65" s="1707"/>
      <c r="F65" s="1707"/>
      <c r="G65" s="1707"/>
      <c r="H65" s="1707"/>
      <c r="I65" s="1707"/>
      <c r="J65" s="264"/>
      <c r="K65" s="264"/>
      <c r="L65" s="264"/>
      <c r="M65" s="264"/>
      <c r="N65" s="264"/>
      <c r="O65" s="264"/>
      <c r="P65" s="264"/>
      <c r="Q65" s="264"/>
      <c r="R65" s="264"/>
      <c r="S65" s="264"/>
      <c r="T65" s="264"/>
      <c r="U65" s="264"/>
      <c r="V65" s="264"/>
    </row>
    <row r="66" spans="1:22" ht="15" customHeight="1" x14ac:dyDescent="0.2">
      <c r="A66" s="264"/>
      <c r="B66" s="1707"/>
      <c r="C66" s="1707"/>
      <c r="D66" s="1707"/>
      <c r="E66" s="1707"/>
      <c r="F66" s="1707"/>
      <c r="G66" s="1707"/>
      <c r="H66" s="1707"/>
      <c r="I66" s="1707"/>
      <c r="J66" s="264"/>
      <c r="K66" s="264"/>
      <c r="L66" s="264"/>
      <c r="M66" s="264"/>
      <c r="N66" s="264"/>
      <c r="O66" s="264"/>
      <c r="P66" s="264"/>
      <c r="Q66" s="264"/>
      <c r="R66" s="264"/>
      <c r="S66" s="264"/>
      <c r="T66" s="264"/>
      <c r="U66" s="264"/>
      <c r="V66" s="264"/>
    </row>
    <row r="67" spans="1:22" ht="15" customHeight="1" x14ac:dyDescent="0.2">
      <c r="A67" s="264"/>
      <c r="B67" s="1707"/>
      <c r="C67" s="1707"/>
      <c r="D67" s="1707"/>
      <c r="E67" s="1707"/>
      <c r="F67" s="1707"/>
      <c r="G67" s="1707"/>
      <c r="H67" s="1707"/>
      <c r="I67" s="1707"/>
      <c r="J67" s="264"/>
      <c r="K67" s="264"/>
      <c r="L67" s="264"/>
      <c r="M67" s="264"/>
      <c r="N67" s="264"/>
      <c r="O67" s="264"/>
      <c r="P67" s="264"/>
      <c r="Q67" s="264"/>
      <c r="R67" s="264"/>
      <c r="S67" s="264"/>
      <c r="T67" s="264"/>
      <c r="U67" s="264"/>
      <c r="V67" s="264"/>
    </row>
    <row r="68" spans="1:22" ht="15" customHeight="1" x14ac:dyDescent="0.2">
      <c r="A68" s="264"/>
      <c r="B68" s="1707"/>
      <c r="C68" s="1707"/>
      <c r="D68" s="1707"/>
      <c r="E68" s="1707"/>
      <c r="F68" s="1707"/>
      <c r="G68" s="1707"/>
      <c r="H68" s="1707"/>
      <c r="I68" s="1707"/>
      <c r="J68" s="264"/>
      <c r="K68" s="264"/>
      <c r="L68" s="264"/>
      <c r="M68" s="264"/>
      <c r="N68" s="264"/>
      <c r="O68" s="264"/>
      <c r="P68" s="264"/>
      <c r="Q68" s="264"/>
      <c r="R68" s="264"/>
      <c r="S68" s="264"/>
      <c r="T68" s="264"/>
      <c r="U68" s="264"/>
      <c r="V68" s="264"/>
    </row>
    <row r="69" spans="1:22" ht="15" customHeight="1" x14ac:dyDescent="0.2">
      <c r="A69" s="264"/>
      <c r="B69" s="1707"/>
      <c r="C69" s="1707"/>
      <c r="D69" s="1707"/>
      <c r="E69" s="1707"/>
      <c r="F69" s="1707"/>
      <c r="G69" s="1707"/>
      <c r="H69" s="1707"/>
      <c r="I69" s="1707"/>
      <c r="J69" s="264"/>
      <c r="K69" s="264"/>
      <c r="L69" s="264"/>
      <c r="M69" s="264"/>
      <c r="N69" s="264"/>
      <c r="O69" s="264"/>
      <c r="P69" s="264"/>
      <c r="Q69" s="264"/>
      <c r="R69" s="264"/>
      <c r="S69" s="264"/>
      <c r="T69" s="264"/>
      <c r="U69" s="264"/>
      <c r="V69" s="264"/>
    </row>
    <row r="70" spans="1:22" ht="15" customHeight="1" x14ac:dyDescent="0.2">
      <c r="A70" s="264"/>
      <c r="B70" s="1707"/>
      <c r="C70" s="1707"/>
      <c r="D70" s="1707"/>
      <c r="E70" s="1707"/>
      <c r="F70" s="1707"/>
      <c r="G70" s="1707"/>
      <c r="H70" s="1707"/>
      <c r="I70" s="1707"/>
      <c r="J70" s="264"/>
      <c r="K70" s="264"/>
      <c r="L70" s="264"/>
      <c r="M70" s="264"/>
      <c r="N70" s="264"/>
      <c r="O70" s="264"/>
      <c r="P70" s="264"/>
      <c r="Q70" s="264"/>
      <c r="R70" s="264"/>
      <c r="S70" s="264"/>
      <c r="T70" s="264"/>
      <c r="U70" s="264"/>
      <c r="V70" s="264"/>
    </row>
    <row r="71" spans="1:22" ht="15" customHeight="1" x14ac:dyDescent="0.2">
      <c r="A71" s="264"/>
      <c r="B71" s="1707"/>
      <c r="C71" s="1707"/>
      <c r="D71" s="1707"/>
      <c r="E71" s="1707"/>
      <c r="F71" s="1707"/>
      <c r="G71" s="1707"/>
      <c r="H71" s="1707"/>
      <c r="I71" s="1707"/>
      <c r="J71" s="264"/>
      <c r="K71" s="264"/>
      <c r="L71" s="264"/>
      <c r="M71" s="264"/>
      <c r="N71" s="264"/>
      <c r="O71" s="264"/>
      <c r="P71" s="264"/>
      <c r="Q71" s="264"/>
      <c r="R71" s="264"/>
      <c r="S71" s="264"/>
      <c r="T71" s="264"/>
      <c r="U71" s="264"/>
      <c r="V71" s="264"/>
    </row>
    <row r="72" spans="1:22" ht="15" customHeight="1" x14ac:dyDescent="0.2">
      <c r="A72" s="264"/>
      <c r="B72" s="1707"/>
      <c r="C72" s="1707"/>
      <c r="D72" s="1707"/>
      <c r="E72" s="1707"/>
      <c r="F72" s="1707"/>
      <c r="G72" s="1707"/>
      <c r="H72" s="1707"/>
      <c r="I72" s="1707"/>
      <c r="J72" s="264"/>
      <c r="K72" s="264"/>
      <c r="L72" s="264"/>
      <c r="M72" s="264"/>
      <c r="N72" s="264"/>
      <c r="O72" s="264"/>
      <c r="P72" s="264"/>
      <c r="Q72" s="264"/>
      <c r="R72" s="264"/>
      <c r="S72" s="264"/>
      <c r="T72" s="264"/>
      <c r="U72" s="264"/>
      <c r="V72" s="264"/>
    </row>
    <row r="73" spans="1:22" ht="15" customHeight="1" x14ac:dyDescent="0.2">
      <c r="A73" s="264"/>
      <c r="B73" s="1707"/>
      <c r="C73" s="1707"/>
      <c r="D73" s="1707"/>
      <c r="E73" s="1707"/>
      <c r="F73" s="1707"/>
      <c r="G73" s="1707"/>
      <c r="H73" s="1707"/>
      <c r="I73" s="1707"/>
      <c r="J73" s="264"/>
      <c r="K73" s="264"/>
      <c r="L73" s="264"/>
      <c r="M73" s="264"/>
      <c r="N73" s="264"/>
      <c r="O73" s="264"/>
      <c r="P73" s="264"/>
      <c r="Q73" s="264"/>
      <c r="R73" s="264"/>
      <c r="S73" s="264"/>
      <c r="T73" s="264"/>
      <c r="U73" s="264"/>
      <c r="V73" s="264"/>
    </row>
    <row r="74" spans="1:22" ht="15" customHeight="1" x14ac:dyDescent="0.2">
      <c r="A74" s="264"/>
      <c r="B74" s="1707"/>
      <c r="C74" s="1707"/>
      <c r="D74" s="1707"/>
      <c r="E74" s="1707"/>
      <c r="F74" s="1707"/>
      <c r="G74" s="1707"/>
      <c r="H74" s="1707"/>
      <c r="I74" s="1707"/>
      <c r="J74" s="264"/>
      <c r="K74" s="264"/>
      <c r="L74" s="264"/>
      <c r="M74" s="264"/>
      <c r="N74" s="264"/>
      <c r="O74" s="264"/>
      <c r="P74" s="264"/>
      <c r="Q74" s="264"/>
      <c r="R74" s="264"/>
      <c r="S74" s="264"/>
      <c r="T74" s="264"/>
      <c r="U74" s="264"/>
      <c r="V74" s="264"/>
    </row>
    <row r="75" spans="1:22" ht="15" customHeight="1" x14ac:dyDescent="0.2">
      <c r="A75" s="264"/>
      <c r="B75" s="1707"/>
      <c r="C75" s="1707"/>
      <c r="D75" s="1707"/>
      <c r="E75" s="1707"/>
      <c r="F75" s="1707"/>
      <c r="G75" s="1707"/>
      <c r="H75" s="1707"/>
      <c r="I75" s="1707"/>
      <c r="J75" s="264"/>
      <c r="K75" s="264"/>
      <c r="L75" s="264"/>
      <c r="M75" s="264"/>
      <c r="N75" s="264"/>
      <c r="O75" s="264"/>
      <c r="P75" s="264"/>
      <c r="Q75" s="264"/>
      <c r="R75" s="264"/>
      <c r="S75" s="264"/>
      <c r="T75" s="264"/>
      <c r="U75" s="264"/>
      <c r="V75" s="264"/>
    </row>
    <row r="76" spans="1:22" ht="15" customHeight="1" x14ac:dyDescent="0.2">
      <c r="A76" s="264"/>
      <c r="B76" s="1707"/>
      <c r="C76" s="1707"/>
      <c r="D76" s="1707"/>
      <c r="E76" s="1707"/>
      <c r="F76" s="1707"/>
      <c r="G76" s="1707"/>
      <c r="H76" s="1707"/>
      <c r="I76" s="1707"/>
      <c r="J76" s="264"/>
      <c r="K76" s="264"/>
      <c r="L76" s="264"/>
      <c r="M76" s="264"/>
      <c r="N76" s="264"/>
      <c r="O76" s="264"/>
      <c r="P76" s="264"/>
      <c r="Q76" s="264"/>
      <c r="R76" s="264"/>
      <c r="S76" s="264"/>
      <c r="T76" s="264"/>
      <c r="U76" s="264"/>
      <c r="V76" s="264"/>
    </row>
    <row r="77" spans="1:22" ht="15" customHeight="1" x14ac:dyDescent="0.2">
      <c r="A77" s="1707"/>
      <c r="B77" s="1707"/>
      <c r="C77" s="1707"/>
      <c r="D77" s="1707"/>
      <c r="E77" s="1707"/>
      <c r="F77" s="1707"/>
      <c r="G77" s="1707"/>
      <c r="H77" s="1707"/>
      <c r="I77" s="1707"/>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188" t="s">
        <v>2367</v>
      </c>
      <c r="C79" s="2189"/>
      <c r="D79" s="2189"/>
      <c r="E79" s="2189"/>
      <c r="F79" s="2189"/>
      <c r="G79" s="2189"/>
      <c r="H79" s="2210"/>
      <c r="I79" s="264"/>
      <c r="J79" s="264"/>
      <c r="K79" s="264"/>
      <c r="L79" s="264"/>
      <c r="M79" s="2288" t="s">
        <v>2358</v>
      </c>
      <c r="N79" s="2288"/>
      <c r="O79" s="2288"/>
      <c r="P79" s="2288"/>
      <c r="Q79" s="2288"/>
      <c r="R79" s="2288"/>
      <c r="S79" s="264"/>
      <c r="T79" s="264"/>
      <c r="U79" s="264" t="str">
        <f ca="1">IF(IFERROR(5*10^6/H22,0)=V79,"максимум","пятой части")</f>
        <v>пятой части</v>
      </c>
      <c r="V79" s="264">
        <f ca="1">MIN(0.2,IFERROR(5*10^6/H$22,0.2))</f>
        <v>0.2</v>
      </c>
    </row>
    <row r="80" spans="1:22" ht="30" customHeight="1" x14ac:dyDescent="0.2">
      <c r="A80" s="264"/>
      <c r="B80" s="2202" t="s">
        <v>2389</v>
      </c>
      <c r="C80" s="2203"/>
      <c r="D80" s="2203"/>
      <c r="E80" s="2203"/>
      <c r="F80" s="2203"/>
      <c r="G80" s="2204"/>
      <c r="H80" s="1725">
        <f ca="1">IFERROR(H81+H82,"")</f>
        <v>244213.18400000001</v>
      </c>
      <c r="I80" s="264"/>
      <c r="J80" s="264"/>
      <c r="K80" s="264"/>
      <c r="L80" s="264"/>
      <c r="M80" s="1758" t="s">
        <v>2405</v>
      </c>
      <c r="N80" s="2289" t="str">
        <f ca="1">"от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1 254 771 рублей),</v>
      </c>
      <c r="O80" s="2289"/>
      <c r="P80" s="2289"/>
      <c r="Q80" s="2289"/>
      <c r="R80" s="2289"/>
      <c r="S80" s="264"/>
      <c r="T80" s="264"/>
      <c r="U80" s="264" t="str">
        <f ca="1">IF(IFERROR(5*10^6/H22,0)=V80,"максимум","четверти")</f>
        <v>четверти</v>
      </c>
      <c r="V80" s="264">
        <f ca="1">MIN(0.25,IFERROR(5*10^6/H$22,0.25))</f>
        <v>0.25</v>
      </c>
    </row>
    <row r="81" spans="1:22" ht="30" customHeight="1" x14ac:dyDescent="0.2">
      <c r="A81" s="264"/>
      <c r="B81" s="2180"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81"/>
      <c r="D81" s="2181"/>
      <c r="E81" s="2181"/>
      <c r="F81" s="2181"/>
      <c r="G81" s="2182"/>
      <c r="H81" s="1716">
        <f ca="1">IFERROR(
                 IF('Ввод исходных данных'!D42=INDEX(SposobRascheta,3),
                              0,
                              MIN(5*10^6,
                                          0.8*H18,
                                          H16,
                                          H22*H33*IF(H33&lt;0.1,
                                                                           0,
                                                                           MIN(4,
                                                                                       10*H33+1)))),"")</f>
        <v>244213.18400000001</v>
      </c>
      <c r="I81" s="2285" t="str">
        <f>IF(H16&gt;0,"","← Укажите стоимость капитального ремонта"&amp;CHAR(10)&amp;"     и мероприятий по энергосбережению!")</f>
        <v/>
      </c>
      <c r="J81" s="2286"/>
      <c r="K81" s="2286"/>
      <c r="L81" s="1555"/>
      <c r="M81" s="2290" t="s">
        <v>2390</v>
      </c>
      <c r="N81" s="2290"/>
      <c r="O81" s="2290"/>
      <c r="P81" s="2290"/>
      <c r="Q81" s="2291">
        <f ca="1">IF(INDEX(U79:V88,MATCH(M80,U79:U88,0),2)&gt;=1.2,INDEX(U79:V88,MATCH(M80,U79:U88,0),2)/4,(SQRT(1+40*INDEX(U79:V88,MATCH(M80,U79:U88,0),2))-1)/20)</f>
        <v>0.17912878474779198</v>
      </c>
      <c r="R81" s="2291"/>
      <c r="S81" s="264"/>
      <c r="T81" s="264"/>
      <c r="U81" s="264" t="str">
        <f ca="1">IF(IFERROR(5*10^6/H22,0)=V81,"максимум","трети")</f>
        <v>трети</v>
      </c>
      <c r="V81" s="264">
        <f ca="1">MIN(0.33,IFERROR(5*10^6/H$22,0.33))</f>
        <v>0.33</v>
      </c>
    </row>
    <row r="82" spans="1:22" ht="30" customHeight="1" x14ac:dyDescent="0.2">
      <c r="A82" s="264"/>
      <c r="B82" s="2183" t="s">
        <v>2392</v>
      </c>
      <c r="C82" s="2184"/>
      <c r="D82" s="2184"/>
      <c r="E82" s="2184"/>
      <c r="F82" s="2184"/>
      <c r="G82" s="2185"/>
      <c r="H82" s="1726">
        <f ca="1">IFERROR(MIN(5*10^6-H81,0.8*H18-H81,I120),"")</f>
        <v>0</v>
      </c>
      <c r="I82" s="2287" t="str">
        <f ca="1">IFERROR(IF(H82&lt;I120,"← Ограничено максимальным размером поддержки!"&amp;CHAR(10)&amp;"     ","← "),"")&amp;
IF(AND(H82&lt;&gt;"",IFERROR(H82,0)&gt;0),"Это ориентировочная сумма. Окончательная сумма зависит"&amp;CHAR(10)&amp;"     от условий вашего кредитного договора.","")</f>
        <v xml:space="preserve">← </v>
      </c>
      <c r="J82" s="2287"/>
      <c r="K82" s="2287"/>
      <c r="L82" s="2287"/>
      <c r="M82" s="2293" t="s">
        <v>2362</v>
      </c>
      <c r="N82" s="2293"/>
      <c r="O82" s="2293"/>
      <c r="P82" s="2293"/>
      <c r="Q82" s="2291" t="str">
        <f ca="1">TEXT(INDEX(U79:V88,MATCH(M80,U79:U88,0),2)*H22/0.8,"# ###")&amp;CHAR(32)&amp;"руб."</f>
        <v>1 568 464 руб.</v>
      </c>
      <c r="R82" s="2291"/>
      <c r="S82" s="264"/>
      <c r="T82" s="264"/>
      <c r="U82" s="264" t="str">
        <f ca="1">IF(IFERROR(5*10^6/H22,0)=V82,"максимум","половины")</f>
        <v>половины</v>
      </c>
      <c r="V82" s="264">
        <f ca="1">MIN(0.5,IFERROR(5*10^6/H$22,0.5))</f>
        <v>0.5</v>
      </c>
    </row>
    <row r="83" spans="1:22" ht="15" customHeight="1" x14ac:dyDescent="0.2">
      <c r="A83" s="264"/>
      <c r="B83" s="2229" t="s">
        <v>2399</v>
      </c>
      <c r="C83" s="2229"/>
      <c r="D83" s="2229"/>
      <c r="E83" s="2229"/>
      <c r="F83" s="2229"/>
      <c r="G83" s="2229"/>
      <c r="H83" s="1705"/>
      <c r="I83" s="2287"/>
      <c r="J83" s="2287"/>
      <c r="K83" s="2287"/>
      <c r="L83" s="2287"/>
      <c r="M83" s="264"/>
      <c r="N83" s="264"/>
      <c r="O83" s="264"/>
      <c r="P83" s="264"/>
      <c r="Q83" s="264"/>
      <c r="R83" s="264"/>
      <c r="S83" s="264"/>
      <c r="T83" s="264"/>
      <c r="U83" s="264" t="str">
        <f ca="1">IF(IFERROR(5*10^6/H22,0)=V83,"максимум","двух третей")</f>
        <v>двух третей</v>
      </c>
      <c r="V83" s="264">
        <f ca="1">MIN(0.67,IFERROR(5*10^6/H$22,0.67))</f>
        <v>0.67</v>
      </c>
    </row>
    <row r="84" spans="1:22" x14ac:dyDescent="0.2">
      <c r="A84" s="264"/>
      <c r="B84" s="264"/>
      <c r="C84" s="264"/>
      <c r="D84" s="264"/>
      <c r="E84" s="264"/>
      <c r="F84" s="264"/>
      <c r="G84" s="264"/>
      <c r="H84" s="264"/>
      <c r="I84" s="2287"/>
      <c r="J84" s="2287"/>
      <c r="K84" s="2287"/>
      <c r="L84" s="2287"/>
      <c r="M84" s="264"/>
      <c r="N84" s="264"/>
      <c r="O84" s="264"/>
      <c r="P84" s="264"/>
      <c r="Q84" s="264"/>
      <c r="R84" s="264"/>
      <c r="S84" s="264"/>
      <c r="T84" s="264"/>
      <c r="U84" s="264" t="str">
        <f ca="1">IF(IFERROR(5*10^6/H22,0)=V84,"максимум","трёх четвертей")</f>
        <v>трёх четвертей</v>
      </c>
      <c r="V84" s="264">
        <f ca="1">MIN(0.75,IFERROR(5*10^6/H$22,0.75))</f>
        <v>0.75</v>
      </c>
    </row>
    <row r="85" spans="1:22" ht="15" customHeight="1" x14ac:dyDescent="0.2">
      <c r="A85" s="264"/>
      <c r="B85" s="264"/>
      <c r="C85" s="264"/>
      <c r="D85" s="264"/>
      <c r="E85" s="264"/>
      <c r="F85" s="264"/>
      <c r="G85" s="264"/>
      <c r="H85" s="264"/>
      <c r="I85" s="1712"/>
      <c r="J85" s="1712"/>
      <c r="K85" s="1712"/>
      <c r="L85" s="1712"/>
      <c r="M85" s="264"/>
      <c r="N85" s="264"/>
      <c r="O85" s="264"/>
      <c r="P85" s="264"/>
      <c r="Q85" s="264"/>
      <c r="R85" s="264"/>
      <c r="S85" s="264"/>
      <c r="T85" s="264"/>
      <c r="U85" s="1670" t="str">
        <f ca="1">IF(IFERROR(5*10^6/H22,0)=V85,"максимум","100%")</f>
        <v>100%</v>
      </c>
      <c r="V85" s="264">
        <f ca="1">MIN(1,IFERROR(5*10^6/H$22,1))</f>
        <v>1</v>
      </c>
    </row>
    <row r="86" spans="1:22" ht="15" customHeight="1" x14ac:dyDescent="0.2">
      <c r="A86" s="264"/>
      <c r="B86" s="2223" t="s">
        <v>2325</v>
      </c>
      <c r="C86" s="2224"/>
      <c r="D86" s="2224"/>
      <c r="E86" s="2224"/>
      <c r="F86" s="2224"/>
      <c r="G86" s="2225"/>
      <c r="H86" s="1725" t="str">
        <f>IFERROR(MAX(0,IF(ISBLANK(H9),"",H18-H9)),"")</f>
        <v/>
      </c>
      <c r="I86" s="264"/>
      <c r="J86" s="264"/>
      <c r="K86" s="264"/>
      <c r="L86" s="264"/>
      <c r="M86" s="264"/>
      <c r="N86" s="264"/>
      <c r="O86" s="264"/>
      <c r="P86" s="264"/>
      <c r="Q86" s="264"/>
      <c r="R86" s="264"/>
      <c r="S86" s="264"/>
      <c r="T86" s="264"/>
      <c r="U86" s="1670" t="str">
        <f ca="1">IF(IFERROR(5*10^6/H22,0)=V86,"максимум","150%")</f>
        <v>150%</v>
      </c>
      <c r="V86" s="264">
        <f ca="1">MIN(1.5,IFERROR(5*10^6/H$22,1.5))</f>
        <v>1.5</v>
      </c>
    </row>
    <row r="87" spans="1:22" ht="30" customHeight="1" x14ac:dyDescent="0.2">
      <c r="A87" s="264"/>
      <c r="B87" s="2180" t="s">
        <v>2368</v>
      </c>
      <c r="C87" s="2181"/>
      <c r="D87" s="2181"/>
      <c r="E87" s="2181"/>
      <c r="F87" s="2181"/>
      <c r="G87" s="2182"/>
      <c r="H87" s="1716">
        <f>-PV(H89/12,H93,H6*H5*H97*H98)</f>
        <v>0</v>
      </c>
      <c r="I87" s="264"/>
      <c r="J87" s="264"/>
      <c r="K87" s="264"/>
      <c r="L87" s="264"/>
      <c r="M87" s="264"/>
      <c r="N87" s="264"/>
      <c r="O87" s="264"/>
      <c r="P87" s="1669"/>
      <c r="Q87" s="264"/>
      <c r="R87" s="264"/>
      <c r="S87" s="264"/>
      <c r="T87" s="264"/>
      <c r="U87" s="1670" t="str">
        <f ca="1">IF(IFERROR(5*10^6/H22,0)=V87,"максимум","200%")</f>
        <v>максимум</v>
      </c>
      <c r="V87" s="264">
        <f ca="1">MIN(2,IFERROR(5*10^6/H$22,2))</f>
        <v>1.9923947661813766</v>
      </c>
    </row>
    <row r="88" spans="1:22" ht="15" customHeight="1" x14ac:dyDescent="0.2">
      <c r="A88" s="264"/>
      <c r="B88" s="2272" t="s">
        <v>2318</v>
      </c>
      <c r="C88" s="2273"/>
      <c r="D88" s="2273"/>
      <c r="E88" s="2273"/>
      <c r="F88" s="2273"/>
      <c r="G88" s="2274"/>
      <c r="H88" s="1776">
        <f>MIN(H86,H87*2)</f>
        <v>0</v>
      </c>
      <c r="I88" s="264"/>
      <c r="J88" s="264"/>
      <c r="K88" s="264"/>
      <c r="L88" s="264"/>
      <c r="M88" s="264"/>
      <c r="N88" s="264"/>
      <c r="O88" s="264"/>
      <c r="P88" s="1669"/>
      <c r="Q88" s="264"/>
      <c r="R88" s="264"/>
      <c r="S88" s="264"/>
      <c r="T88" s="264"/>
      <c r="U88" s="1670" t="str">
        <f ca="1">IF(IFERROR(5*10^6/H22,0)=V88,"максимум","300%")</f>
        <v>максимум</v>
      </c>
      <c r="V88" s="264">
        <f ca="1">MIN(3,IFERROR(5*10^6/H$22,3))</f>
        <v>1.9923947661813766</v>
      </c>
    </row>
    <row r="89" spans="1:22" ht="15" customHeight="1" x14ac:dyDescent="0.2">
      <c r="A89" s="264"/>
      <c r="B89" s="2272" t="s">
        <v>2319</v>
      </c>
      <c r="C89" s="2273"/>
      <c r="D89" s="2273"/>
      <c r="E89" s="2273"/>
      <c r="F89" s="2273"/>
      <c r="G89" s="2274"/>
      <c r="H89" s="1753">
        <v>0.14000000000000001</v>
      </c>
      <c r="I89" s="264"/>
      <c r="J89" s="264"/>
      <c r="K89" s="264"/>
      <c r="L89" s="264"/>
      <c r="M89" s="264"/>
      <c r="N89" s="264"/>
      <c r="O89" s="264"/>
      <c r="P89" s="1669"/>
      <c r="Q89" s="264"/>
      <c r="R89" s="264"/>
      <c r="S89" s="264"/>
      <c r="T89" s="264"/>
      <c r="U89" s="264"/>
      <c r="V89" s="264"/>
    </row>
    <row r="90" spans="1:22" ht="15" customHeight="1" x14ac:dyDescent="0.2">
      <c r="A90" s="264"/>
      <c r="B90" s="2272" t="s">
        <v>2320</v>
      </c>
      <c r="C90" s="2273"/>
      <c r="D90" s="2273"/>
      <c r="E90" s="2273"/>
      <c r="F90" s="2273"/>
      <c r="G90" s="2274"/>
      <c r="H90" s="1753">
        <v>7.7499999999999999E-2</v>
      </c>
      <c r="I90" s="2242" t="str">
        <f>IF(IFERROR(H90,0)=0,"&lt; Размер ключевой ставки на сегодня можно узнать на сайте ЦБ РФ: www.cbr.ru","")</f>
        <v/>
      </c>
      <c r="J90" s="2243"/>
      <c r="K90" s="2243"/>
      <c r="L90" s="264"/>
      <c r="M90" s="264"/>
      <c r="N90" s="264"/>
      <c r="O90" s="264"/>
      <c r="P90" s="1669"/>
      <c r="Q90" s="264"/>
      <c r="R90" s="264"/>
      <c r="S90" s="264"/>
      <c r="T90" s="264"/>
      <c r="U90" s="264"/>
      <c r="V90" s="264"/>
    </row>
    <row r="91" spans="1:22" ht="15" customHeight="1" x14ac:dyDescent="0.2">
      <c r="A91" s="264"/>
      <c r="B91" s="2272" t="s">
        <v>2295</v>
      </c>
      <c r="C91" s="2273"/>
      <c r="D91" s="2273"/>
      <c r="E91" s="2273"/>
      <c r="F91" s="2273"/>
      <c r="G91" s="2274"/>
      <c r="H91" s="1754">
        <f ca="1">TODAY()+30</f>
        <v>44423</v>
      </c>
      <c r="I91" s="2242"/>
      <c r="J91" s="2243"/>
      <c r="K91" s="2243"/>
      <c r="L91" s="264"/>
      <c r="M91" s="264"/>
      <c r="N91" s="264"/>
      <c r="O91" s="264"/>
      <c r="P91" s="1669"/>
      <c r="Q91" s="264"/>
      <c r="R91" s="264"/>
      <c r="S91" s="264"/>
      <c r="T91" s="264"/>
      <c r="U91" s="264"/>
      <c r="V91" s="264"/>
    </row>
    <row r="92" spans="1:22" ht="15" customHeight="1" x14ac:dyDescent="0.2">
      <c r="A92" s="264"/>
      <c r="B92" s="2272" t="s">
        <v>2296</v>
      </c>
      <c r="C92" s="2273"/>
      <c r="D92" s="2273"/>
      <c r="E92" s="2273"/>
      <c r="F92" s="2273"/>
      <c r="G92" s="2274"/>
      <c r="H92" s="1755">
        <f ca="1">DAY(H91)</f>
        <v>15</v>
      </c>
      <c r="I92" s="264"/>
      <c r="J92" s="264"/>
      <c r="K92" s="264"/>
      <c r="L92" s="264"/>
      <c r="M92" s="264"/>
      <c r="N92" s="264"/>
      <c r="O92" s="264"/>
      <c r="P92" s="1669"/>
      <c r="Q92" s="264"/>
      <c r="R92" s="264"/>
      <c r="S92" s="264"/>
      <c r="T92" s="264"/>
      <c r="U92" s="264"/>
      <c r="V92" s="264"/>
    </row>
    <row r="93" spans="1:22" ht="15" customHeight="1" x14ac:dyDescent="0.2">
      <c r="A93" s="264"/>
      <c r="B93" s="2272" t="s">
        <v>2321</v>
      </c>
      <c r="C93" s="2273"/>
      <c r="D93" s="2273"/>
      <c r="E93" s="2273"/>
      <c r="F93" s="2273"/>
      <c r="G93" s="2274"/>
      <c r="H93" s="1755">
        <v>60</v>
      </c>
      <c r="I93" s="264"/>
      <c r="J93" s="264"/>
      <c r="K93" s="264"/>
      <c r="L93" s="264"/>
      <c r="M93" s="264"/>
      <c r="N93" s="264"/>
      <c r="O93" s="264"/>
      <c r="P93" s="1669"/>
      <c r="Q93" s="264"/>
      <c r="R93" s="264"/>
      <c r="S93" s="264"/>
      <c r="T93" s="264"/>
      <c r="U93" s="264"/>
      <c r="V93" s="264"/>
    </row>
    <row r="94" spans="1:22" ht="15" customHeight="1" x14ac:dyDescent="0.2">
      <c r="A94" s="264"/>
      <c r="B94" s="2272" t="s">
        <v>2322</v>
      </c>
      <c r="C94" s="2273"/>
      <c r="D94" s="2273"/>
      <c r="E94" s="2273"/>
      <c r="F94" s="2273"/>
      <c r="G94" s="2274"/>
      <c r="H94" s="1755">
        <v>1</v>
      </c>
      <c r="I94" s="264"/>
      <c r="J94" s="264"/>
      <c r="K94" s="264"/>
      <c r="L94" s="264"/>
      <c r="M94" s="264"/>
      <c r="N94" s="264"/>
      <c r="O94" s="264"/>
      <c r="P94" s="1669"/>
      <c r="Q94" s="264"/>
      <c r="R94" s="264"/>
      <c r="S94" s="264"/>
      <c r="T94" s="264"/>
      <c r="U94" s="264"/>
      <c r="V94" s="264"/>
    </row>
    <row r="95" spans="1:22" ht="15" customHeight="1" x14ac:dyDescent="0.2">
      <c r="A95" s="264"/>
      <c r="B95" s="2272" t="s">
        <v>2323</v>
      </c>
      <c r="C95" s="2273"/>
      <c r="D95" s="2273"/>
      <c r="E95" s="2273"/>
      <c r="F95" s="2273"/>
      <c r="G95" s="2274"/>
      <c r="H95" s="1755">
        <v>3</v>
      </c>
      <c r="I95" s="264"/>
      <c r="J95" s="264"/>
      <c r="K95" s="264"/>
      <c r="L95" s="264"/>
      <c r="M95" s="264"/>
      <c r="N95" s="264"/>
      <c r="O95" s="264"/>
      <c r="P95" s="1669"/>
      <c r="Q95" s="264"/>
      <c r="R95" s="264"/>
      <c r="S95" s="264"/>
      <c r="T95" s="264"/>
      <c r="U95" s="264" t="s">
        <v>2297</v>
      </c>
      <c r="V95" s="264"/>
    </row>
    <row r="96" spans="1:22" ht="15" customHeight="1" x14ac:dyDescent="0.2">
      <c r="A96" s="264"/>
      <c r="B96" s="2272" t="s">
        <v>2324</v>
      </c>
      <c r="C96" s="2273"/>
      <c r="D96" s="2273"/>
      <c r="E96" s="2273"/>
      <c r="F96" s="2273"/>
      <c r="G96" s="2274"/>
      <c r="H96" s="1756" t="s">
        <v>2299</v>
      </c>
      <c r="I96" s="264"/>
      <c r="J96" s="264"/>
      <c r="K96" s="264"/>
      <c r="L96" s="264"/>
      <c r="M96" s="264"/>
      <c r="N96" s="264"/>
      <c r="O96" s="264"/>
      <c r="P96" s="1669"/>
      <c r="Q96" s="264"/>
      <c r="R96" s="264"/>
      <c r="S96" s="264"/>
      <c r="T96" s="264"/>
      <c r="U96" s="264" t="s">
        <v>2298</v>
      </c>
      <c r="V96" s="264">
        <v>1</v>
      </c>
    </row>
    <row r="97" spans="1:22" ht="15" customHeight="1" x14ac:dyDescent="0.2">
      <c r="A97" s="264"/>
      <c r="B97" s="2272" t="s">
        <v>2302</v>
      </c>
      <c r="C97" s="2273"/>
      <c r="D97" s="2273"/>
      <c r="E97" s="2273"/>
      <c r="F97" s="2273"/>
      <c r="G97" s="2274"/>
      <c r="H97" s="1752">
        <v>0.95</v>
      </c>
      <c r="I97" s="264"/>
      <c r="J97" s="264"/>
      <c r="K97" s="264"/>
      <c r="L97" s="264"/>
      <c r="M97" s="264"/>
      <c r="N97" s="264"/>
      <c r="O97" s="264"/>
      <c r="P97" s="1669"/>
      <c r="Q97" s="264"/>
      <c r="R97" s="264"/>
      <c r="S97" s="264"/>
      <c r="T97" s="264"/>
      <c r="U97" s="264" t="s">
        <v>2299</v>
      </c>
      <c r="V97" s="264">
        <v>3</v>
      </c>
    </row>
    <row r="98" spans="1:22" ht="15" customHeight="1" x14ac:dyDescent="0.2">
      <c r="A98" s="264"/>
      <c r="B98" s="2275" t="s">
        <v>2303</v>
      </c>
      <c r="C98" s="2276"/>
      <c r="D98" s="2276"/>
      <c r="E98" s="2276"/>
      <c r="F98" s="2276"/>
      <c r="G98" s="2277"/>
      <c r="H98" s="1757">
        <v>0.8</v>
      </c>
      <c r="I98" s="264"/>
      <c r="J98" s="264"/>
      <c r="K98" s="264"/>
      <c r="L98" s="264"/>
      <c r="M98" s="264"/>
      <c r="N98" s="264"/>
      <c r="O98" s="264"/>
      <c r="P98" s="1669"/>
      <c r="Q98" s="264"/>
      <c r="R98" s="264"/>
      <c r="S98" s="264"/>
      <c r="T98" s="264"/>
      <c r="U98" s="264" t="s">
        <v>2300</v>
      </c>
      <c r="V98" s="264">
        <v>6</v>
      </c>
    </row>
    <row r="99" spans="1:22" ht="15" customHeight="1" x14ac:dyDescent="0.2">
      <c r="A99" s="264"/>
      <c r="B99" s="264"/>
      <c r="C99" s="264"/>
      <c r="D99" s="264"/>
      <c r="E99" s="264"/>
      <c r="F99" s="264"/>
      <c r="G99" s="264"/>
      <c r="H99" s="264"/>
      <c r="I99" s="264"/>
      <c r="J99" s="264"/>
      <c r="K99" s="264"/>
      <c r="L99" s="264"/>
      <c r="M99" s="264"/>
      <c r="N99" s="264"/>
      <c r="O99" s="264"/>
      <c r="P99" s="1669"/>
      <c r="Q99" s="264"/>
      <c r="R99" s="264"/>
      <c r="S99" s="264"/>
      <c r="T99" s="264"/>
      <c r="U99" s="264" t="s">
        <v>2301</v>
      </c>
      <c r="V99" s="264">
        <v>12</v>
      </c>
    </row>
    <row r="100" spans="1:22" x14ac:dyDescent="0.2">
      <c r="A100" s="264"/>
      <c r="B100" s="264"/>
      <c r="C100" s="264"/>
      <c r="D100" s="264"/>
      <c r="E100" s="264"/>
      <c r="F100" s="264"/>
      <c r="G100" s="264"/>
      <c r="H100" s="264"/>
      <c r="I100" s="264"/>
      <c r="J100" s="264"/>
      <c r="K100" s="264"/>
      <c r="L100" s="264"/>
      <c r="M100" s="264"/>
      <c r="N100" s="264"/>
      <c r="O100" s="264"/>
      <c r="P100" s="1669"/>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69"/>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69"/>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69"/>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69"/>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69"/>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69"/>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69"/>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69"/>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69"/>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69"/>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69"/>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69"/>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69"/>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69"/>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69"/>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69"/>
      <c r="Q116" s="264"/>
      <c r="R116" s="264"/>
      <c r="S116" s="264"/>
      <c r="T116" s="264"/>
      <c r="U116" s="264"/>
      <c r="V116" s="264"/>
    </row>
    <row r="117" spans="1:22" x14ac:dyDescent="0.2">
      <c r="A117" s="264"/>
      <c r="B117" s="264"/>
      <c r="C117" s="264"/>
      <c r="D117" s="1691"/>
      <c r="E117" s="1691"/>
      <c r="F117" s="264"/>
      <c r="G117" s="264"/>
      <c r="H117" s="264"/>
      <c r="I117" s="264"/>
      <c r="J117" s="264"/>
      <c r="K117" s="264"/>
      <c r="L117" s="264"/>
      <c r="M117" s="264"/>
      <c r="N117" s="264"/>
      <c r="O117" s="264"/>
      <c r="P117" s="1669"/>
      <c r="Q117" s="264"/>
      <c r="R117" s="264"/>
      <c r="S117" s="264"/>
      <c r="T117" s="264"/>
      <c r="U117" s="264"/>
      <c r="V117" s="264"/>
    </row>
    <row r="118" spans="1:22" ht="12.75" customHeight="1" x14ac:dyDescent="0.2">
      <c r="A118" s="264"/>
      <c r="B118" s="2235" t="s">
        <v>2304</v>
      </c>
      <c r="C118" s="2235"/>
      <c r="D118" s="2236" t="s">
        <v>2305</v>
      </c>
      <c r="E118" s="2237"/>
      <c r="F118" s="2237"/>
      <c r="G118" s="2237"/>
      <c r="H118" s="2238"/>
      <c r="I118" s="2239" t="s">
        <v>2360</v>
      </c>
      <c r="J118" s="2239" t="s">
        <v>2361</v>
      </c>
      <c r="K118" s="2241" t="s">
        <v>2306</v>
      </c>
      <c r="L118" s="2241"/>
      <c r="M118" s="2241"/>
      <c r="N118" s="2241"/>
      <c r="O118" s="264"/>
      <c r="P118" s="1669"/>
      <c r="Q118" s="264"/>
      <c r="R118" s="264"/>
      <c r="S118" s="264"/>
      <c r="T118" s="264"/>
      <c r="U118" s="264"/>
      <c r="V118" s="264"/>
    </row>
    <row r="119" spans="1:22" ht="37.5" customHeight="1" x14ac:dyDescent="0.2">
      <c r="A119" s="264"/>
      <c r="B119" s="2241" t="s">
        <v>2147</v>
      </c>
      <c r="C119" s="2241" t="s">
        <v>2307</v>
      </c>
      <c r="D119" s="2239" t="s">
        <v>2308</v>
      </c>
      <c r="E119" s="1727" t="s">
        <v>2309</v>
      </c>
      <c r="F119" s="1727" t="s">
        <v>2366</v>
      </c>
      <c r="G119" s="1727" t="s">
        <v>2365</v>
      </c>
      <c r="H119" s="2239" t="s">
        <v>2363</v>
      </c>
      <c r="I119" s="2240"/>
      <c r="J119" s="2240"/>
      <c r="K119" s="2239" t="s">
        <v>2310</v>
      </c>
      <c r="L119" s="2241" t="s">
        <v>2311</v>
      </c>
      <c r="M119" s="2241"/>
      <c r="N119" s="2233" t="s">
        <v>2364</v>
      </c>
      <c r="O119" s="264"/>
      <c r="P119" s="1669"/>
      <c r="Q119" s="264"/>
      <c r="R119" s="264"/>
      <c r="S119" s="264"/>
      <c r="T119" s="264"/>
      <c r="U119" s="264"/>
      <c r="V119" s="264"/>
    </row>
    <row r="120" spans="1:22" ht="22.5" x14ac:dyDescent="0.2">
      <c r="A120" s="264"/>
      <c r="B120" s="2241"/>
      <c r="C120" s="2241"/>
      <c r="D120" s="2240"/>
      <c r="E120" s="1728">
        <f ca="1">SUM(E121:E220)</f>
        <v>0</v>
      </c>
      <c r="F120" s="1728">
        <f ca="1">SUM(F121:F220)</f>
        <v>0</v>
      </c>
      <c r="G120" s="1728">
        <f>SUMIF(G121:G220,"&lt;&gt;"&amp;"#знач!")</f>
        <v>0</v>
      </c>
      <c r="H120" s="2240"/>
      <c r="I120" s="1728">
        <f ca="1">SUM(I121:I220)</f>
        <v>0</v>
      </c>
      <c r="J120" s="1728">
        <f ca="1">SUM(J121:J220)</f>
        <v>0</v>
      </c>
      <c r="K120" s="2240"/>
      <c r="L120" s="1729" t="s">
        <v>2312</v>
      </c>
      <c r="M120" s="1729" t="s">
        <v>2313</v>
      </c>
      <c r="N120" s="2234"/>
      <c r="O120" s="264"/>
      <c r="P120" s="1669"/>
      <c r="Q120" s="1690" t="s">
        <v>2359</v>
      </c>
      <c r="R120" s="264"/>
      <c r="S120" s="264"/>
      <c r="T120" s="264"/>
      <c r="U120" s="264"/>
      <c r="V120" s="264"/>
    </row>
    <row r="121" spans="1:22" x14ac:dyDescent="0.2">
      <c r="A121" s="264"/>
      <c r="B121" s="1730">
        <v>1</v>
      </c>
      <c r="C121" s="1731">
        <f ca="1">IF(DAY(H91)&lt;H92,
             DATEVALUE(H92&amp;"."&amp;TEXT(H91,"ММММ")&amp;"."&amp;YEAR(H91)),
             DATEVALUE(H92&amp;"."&amp;TEXT(EDATE(H91,1),"ММММ")&amp;"."&amp;YEAR(H91)))</f>
        <v>44454</v>
      </c>
      <c r="D121" s="1732">
        <f ca="1">IFERROR(IF(H$94&gt;=B121,
        E121,
        IF(C121="",
                "",
                IF(C122="",
                        E121+H88,
                        ROUND((H$88*H$89/12)/(1-POWER(1+H$89/12,-COUNTIF(C$121:C$220,"&gt;0")+B121-1)),
                               0)))),"")</f>
        <v>0</v>
      </c>
      <c r="E121" s="1733">
        <f ca="1">IFERROR(
        ROUND(H88*(H$89*(DATEVALUE("01."&amp;MONTH(C121)&amp;"."&amp;YEAR(C121))-H91-1)/(DATEVALUE("01.01."&amp;YEAR(H91)+1)-DATEVALUE("01.01."&amp;YEAR(H91)))+
                                     H$89*(C121-DATEVALUE("01."&amp;MONTH(C121)&amp;"."&amp;YEAR(C121))+1)/(DATEVALUE("01.01."&amp;YEAR(C121)+1)-DATEVALUE("01.01."&amp;YEAR(C121)))),
               2),
        "")</f>
        <v>0</v>
      </c>
      <c r="F121" s="1733">
        <f ca="1">IFERROR(D121-E121,"")</f>
        <v>0</v>
      </c>
      <c r="G121" s="1750"/>
      <c r="H121" s="1734" t="str">
        <f>IF(OR(H88=0,H88=""),
        "",
        MAX(0,H88-F121-G121))</f>
        <v/>
      </c>
      <c r="I121" s="1735">
        <f t="shared" ref="I121:I152" ca="1" si="2">IFERROR(
        IF(C121="",
                "",
                IF(C121&gt;INDEX(C$121:C$220,60),
                        0,
                        ROUND(E121*MIN(1,H$90/H$89),2))),
        "")</f>
        <v>0</v>
      </c>
      <c r="J121" s="1736">
        <f t="shared" ref="J121:J184" ca="1" si="3">IFERROR(E121-I121,"")</f>
        <v>0</v>
      </c>
      <c r="K121" s="1737">
        <f ca="1">IFERROR(ROUNDUP(D121/(H$5*H$97*H$98),2),"")</f>
        <v>0</v>
      </c>
      <c r="L121" s="1733">
        <f t="shared" ref="L121:L152" ca="1" si="4">IFERROR(
        MAX(0,ROUNDUP((D121-IF(B121=1,
                        0,
                        IFERROR(INDEX(I$121:I$220,(B121-H$95)^2/(B121-H$95)),0)))/
                       (H$5*H$97*H$98),
                2)),
        K121)</f>
        <v>0</v>
      </c>
      <c r="M121" s="1733" t="str">
        <f ca="1">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736" t="str">
        <f ca="1">IFERROR(ROUND(M121*H$5*H$97*H$98-D121,2),"")</f>
        <v/>
      </c>
      <c r="O121" s="264"/>
      <c r="P121" s="1669"/>
      <c r="Q121" s="1690">
        <f t="shared" ref="Q121:Q167" ca="1" si="5">IFERROR(IF(K121&gt;=0,H$6,""),"")</f>
        <v>0</v>
      </c>
      <c r="R121" s="264"/>
      <c r="S121" s="264"/>
      <c r="T121" s="264"/>
      <c r="U121" s="264"/>
      <c r="V121" s="264"/>
    </row>
    <row r="122" spans="1:22" x14ac:dyDescent="0.2">
      <c r="A122" s="264"/>
      <c r="B122" s="1738">
        <v>2</v>
      </c>
      <c r="C122" s="1739">
        <f t="shared" ref="C122:C153" ca="1" si="6">IFERROR(
        IF(EDATE(C121,1)&gt;EDATE(H$91,H$93),
                "",
                EDATE(C121,1)),
        "")</f>
        <v>44484</v>
      </c>
      <c r="D122" s="1732" t="str">
        <f ca="1">IFERROR(IF(H$94&gt;=B122,
        E122,
        IF(C122="",
                "",
                IF(C123="",
                        E122+H121,
                        IF(AND(G121=0,H$94&lt;B122-1),
                                    $D121,
                                    ROUND((H121*H$89/12)/(1-POWER(1+H$89/12,-COUNTIF(C$121:C$220,"&gt;0")+B122-1)),0))))),"")</f>
        <v/>
      </c>
      <c r="E122" s="1740" t="str">
        <f ca="1">IFERROR(
        ROUND(H121*(H$89*(DATEVALUE("01."&amp;MONTH(C122)&amp;"."&amp;YEAR(C122))-C121-1)/(DATEVALUE("01.01."&amp;YEAR(C121)+1)-DATEVALUE("01.01."&amp;YEAR(C121)))+
                                     H$89*(C122-DATEVALUE("01."&amp;MONTH(C122)&amp;"."&amp;YEAR(C122))+1)/(DATEVALUE("01.01."&amp;YEAR(C122)+1)-DATEVALUE("01.01."&amp;YEAR(C122)))),
               2),
        "")</f>
        <v/>
      </c>
      <c r="F122" s="1740" t="str">
        <f ca="1">IFERROR(D122-E122,"")</f>
        <v/>
      </c>
      <c r="G122" s="1750"/>
      <c r="H122" s="1734" t="str">
        <f t="shared" ref="H122:H180" si="7">IF(OR(H121=0,H121=""),
        "",
        MAX(0,H121-F122-G122))</f>
        <v/>
      </c>
      <c r="I122" s="1735" t="str">
        <f t="shared" ca="1" si="2"/>
        <v/>
      </c>
      <c r="J122" s="1734" t="str">
        <f t="shared" ca="1" si="3"/>
        <v/>
      </c>
      <c r="K122" s="1732" t="str">
        <f t="shared" ref="K122:K152" ca="1" si="8">IFERROR(ROUNDUP(D122/(H$5*H$97*H$98),2),"")</f>
        <v/>
      </c>
      <c r="L122" s="1740" t="str">
        <f t="shared" ca="1" si="4"/>
        <v/>
      </c>
      <c r="M122" s="1740" t="str">
        <f ca="1">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4" t="str">
        <f t="shared" ref="N122:N153" ca="1" si="9">IFERROR(ROUND(M122*H$5*H$97*H$98-D122+IFERROR(INDEX(I$121:I$220,(B122-H$95)^2/(B122-H$95)),0)+N121,2),"")</f>
        <v/>
      </c>
      <c r="O122" s="264"/>
      <c r="P122" s="1669"/>
      <c r="Q122" s="1690">
        <f t="shared" ca="1" si="5"/>
        <v>0</v>
      </c>
      <c r="R122" s="264"/>
      <c r="S122" s="264"/>
      <c r="T122" s="264"/>
      <c r="U122" s="264"/>
      <c r="V122" s="264"/>
    </row>
    <row r="123" spans="1:22" x14ac:dyDescent="0.2">
      <c r="A123" s="264"/>
      <c r="B123" s="1738">
        <v>3</v>
      </c>
      <c r="C123" s="1739">
        <f t="shared" ca="1" si="6"/>
        <v>44515</v>
      </c>
      <c r="D123" s="1732" t="str">
        <f t="shared" ref="D123:D180" ca="1" si="10">IFERROR(IF(H$94&gt;=B123,
        E123,
        IF(C123="",
                "",
                IF(C124="",
                        E123+H122,
                        IF(AND(G122=0,H$94&lt;B123-1),
                                    $D122,
                                    ROUND((H122*H$89/12)/(1-POWER(1+H$89/12,-COUNTIF(C$121:C$220,"&gt;0")+B123-1)),0))))),"")</f>
        <v/>
      </c>
      <c r="E123" s="1740" t="str">
        <f t="shared" ref="E123:E180" ca="1" si="11">IFERROR(
        ROUND(H122*(H$89*(DATEVALUE("01."&amp;MONTH(C123)&amp;"."&amp;YEAR(C123))-C122-1)/(DATEVALUE("01.01."&amp;YEAR(C122)+1)-DATEVALUE("01.01."&amp;YEAR(C122)))+
                                     H$89*(C123-DATEVALUE("01."&amp;MONTH(C123)&amp;"."&amp;YEAR(C123))+1)/(DATEVALUE("01.01."&amp;YEAR(C123)+1)-DATEVALUE("01.01."&amp;YEAR(C123)))),
               2),
        "")</f>
        <v/>
      </c>
      <c r="F123" s="1740" t="str">
        <f t="shared" ref="F123:F184" ca="1" si="12">IFERROR(D123-E123,"")</f>
        <v/>
      </c>
      <c r="G123" s="1750"/>
      <c r="H123" s="1734" t="str">
        <f t="shared" si="7"/>
        <v/>
      </c>
      <c r="I123" s="1735" t="str">
        <f t="shared" ca="1" si="2"/>
        <v/>
      </c>
      <c r="J123" s="1734" t="str">
        <f ca="1">IFERROR(E123-I123,"")</f>
        <v/>
      </c>
      <c r="K123" s="1732" t="str">
        <f ca="1">IFERROR(ROUNDUP(D123/(H$5*H$97*H$98),2),"")</f>
        <v/>
      </c>
      <c r="L123" s="1740" t="str">
        <f t="shared" ca="1" si="4"/>
        <v/>
      </c>
      <c r="M123" s="1740" t="str">
        <f t="shared" ref="M123:M154" ca="1"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4" t="str">
        <f t="shared" ca="1" si="9"/>
        <v/>
      </c>
      <c r="O123" s="264"/>
      <c r="P123" s="1669"/>
      <c r="Q123" s="1690">
        <f t="shared" ca="1" si="5"/>
        <v>0</v>
      </c>
      <c r="R123" s="264"/>
      <c r="S123" s="264"/>
      <c r="T123" s="264"/>
      <c r="U123" s="264"/>
      <c r="V123" s="264"/>
    </row>
    <row r="124" spans="1:22" x14ac:dyDescent="0.2">
      <c r="A124" s="264"/>
      <c r="B124" s="1738">
        <v>4</v>
      </c>
      <c r="C124" s="1739">
        <f t="shared" ca="1" si="6"/>
        <v>44545</v>
      </c>
      <c r="D124" s="1732" t="str">
        <f t="shared" ca="1" si="10"/>
        <v/>
      </c>
      <c r="E124" s="1740" t="str">
        <f t="shared" ca="1" si="11"/>
        <v/>
      </c>
      <c r="F124" s="1740" t="str">
        <f t="shared" ca="1" si="12"/>
        <v/>
      </c>
      <c r="G124" s="1750"/>
      <c r="H124" s="1734" t="str">
        <f t="shared" si="7"/>
        <v/>
      </c>
      <c r="I124" s="1735" t="str">
        <f t="shared" ca="1" si="2"/>
        <v/>
      </c>
      <c r="J124" s="1734" t="str">
        <f t="shared" ca="1" si="3"/>
        <v/>
      </c>
      <c r="K124" s="1732" t="str">
        <f t="shared" ca="1" si="8"/>
        <v/>
      </c>
      <c r="L124" s="1740" t="str">
        <f t="shared" ca="1" si="4"/>
        <v/>
      </c>
      <c r="M124" s="1740" t="str">
        <f t="shared" ca="1" si="13"/>
        <v/>
      </c>
      <c r="N124" s="1734" t="str">
        <f t="shared" ca="1" si="9"/>
        <v/>
      </c>
      <c r="O124" s="264"/>
      <c r="P124" s="1669"/>
      <c r="Q124" s="1690">
        <f t="shared" ca="1" si="5"/>
        <v>0</v>
      </c>
      <c r="R124" s="264"/>
      <c r="S124" s="264"/>
      <c r="T124" s="264"/>
      <c r="U124" s="264"/>
      <c r="V124" s="264"/>
    </row>
    <row r="125" spans="1:22" x14ac:dyDescent="0.2">
      <c r="A125" s="264"/>
      <c r="B125" s="1738">
        <v>5</v>
      </c>
      <c r="C125" s="1739">
        <f t="shared" ca="1" si="6"/>
        <v>44576</v>
      </c>
      <c r="D125" s="1732" t="str">
        <f t="shared" ca="1" si="10"/>
        <v/>
      </c>
      <c r="E125" s="1740" t="str">
        <f t="shared" ca="1" si="11"/>
        <v/>
      </c>
      <c r="F125" s="1740" t="str">
        <f t="shared" ca="1" si="12"/>
        <v/>
      </c>
      <c r="G125" s="1750"/>
      <c r="H125" s="1734" t="str">
        <f t="shared" si="7"/>
        <v/>
      </c>
      <c r="I125" s="1735" t="str">
        <f t="shared" ca="1" si="2"/>
        <v/>
      </c>
      <c r="J125" s="1734" t="str">
        <f t="shared" ca="1" si="3"/>
        <v/>
      </c>
      <c r="K125" s="1732" t="str">
        <f t="shared" ca="1" si="8"/>
        <v/>
      </c>
      <c r="L125" s="1740" t="str">
        <f t="shared" ca="1" si="4"/>
        <v/>
      </c>
      <c r="M125" s="1740" t="str">
        <f t="shared" ca="1" si="13"/>
        <v/>
      </c>
      <c r="N125" s="1734" t="str">
        <f t="shared" ca="1" si="9"/>
        <v/>
      </c>
      <c r="O125" s="264"/>
      <c r="P125" s="1669"/>
      <c r="Q125" s="1690">
        <f t="shared" ca="1" si="5"/>
        <v>0</v>
      </c>
      <c r="R125" s="264"/>
      <c r="S125" s="264"/>
      <c r="T125" s="264"/>
      <c r="U125" s="264"/>
      <c r="V125" s="264"/>
    </row>
    <row r="126" spans="1:22" x14ac:dyDescent="0.2">
      <c r="A126" s="264"/>
      <c r="B126" s="1738">
        <v>6</v>
      </c>
      <c r="C126" s="1739">
        <f t="shared" ca="1" si="6"/>
        <v>44607</v>
      </c>
      <c r="D126" s="1732" t="str">
        <f t="shared" ca="1" si="10"/>
        <v/>
      </c>
      <c r="E126" s="1740" t="str">
        <f t="shared" ca="1" si="11"/>
        <v/>
      </c>
      <c r="F126" s="1740" t="str">
        <f t="shared" ca="1" si="12"/>
        <v/>
      </c>
      <c r="G126" s="1750"/>
      <c r="H126" s="1734" t="str">
        <f>IF(OR(H125=0,H125=""),
        "",
        MAX(0,H125-F126-G126))</f>
        <v/>
      </c>
      <c r="I126" s="1735" t="str">
        <f t="shared" ca="1" si="2"/>
        <v/>
      </c>
      <c r="J126" s="1734" t="str">
        <f t="shared" ca="1" si="3"/>
        <v/>
      </c>
      <c r="K126" s="1732" t="str">
        <f t="shared" ca="1" si="8"/>
        <v/>
      </c>
      <c r="L126" s="1740" t="str">
        <f t="shared" ca="1" si="4"/>
        <v/>
      </c>
      <c r="M126" s="1740" t="str">
        <f t="shared" ca="1" si="13"/>
        <v/>
      </c>
      <c r="N126" s="1734" t="str">
        <f t="shared" ca="1" si="9"/>
        <v/>
      </c>
      <c r="O126" s="264"/>
      <c r="P126" s="1669"/>
      <c r="Q126" s="1690">
        <f t="shared" ca="1" si="5"/>
        <v>0</v>
      </c>
      <c r="R126" s="264"/>
      <c r="S126" s="264"/>
      <c r="T126" s="264"/>
      <c r="U126" s="264"/>
      <c r="V126" s="264"/>
    </row>
    <row r="127" spans="1:22" x14ac:dyDescent="0.2">
      <c r="A127" s="264"/>
      <c r="B127" s="1738">
        <v>7</v>
      </c>
      <c r="C127" s="1739">
        <f t="shared" ca="1" si="6"/>
        <v>44635</v>
      </c>
      <c r="D127" s="1732" t="str">
        <f t="shared" ca="1" si="10"/>
        <v/>
      </c>
      <c r="E127" s="1740" t="str">
        <f ca="1">IFERROR(
        ROUND(H126*(H$89*(DATEVALUE("01."&amp;MONTH(C127)&amp;"."&amp;YEAR(C127))-C126-1)/(DATEVALUE("01.01."&amp;YEAR(C126)+1)-DATEVALUE("01.01."&amp;YEAR(C126)))+
                                     H$89*(C127-DATEVALUE("01."&amp;MONTH(C127)&amp;"."&amp;YEAR(C127))+1)/(DATEVALUE("01.01."&amp;YEAR(C127)+1)-DATEVALUE("01.01."&amp;YEAR(C127)))),
               2),
        "")</f>
        <v/>
      </c>
      <c r="F127" s="1740" t="str">
        <f ca="1">IFERROR(D127-E127,"")</f>
        <v/>
      </c>
      <c r="G127" s="1750"/>
      <c r="H127" s="1734" t="str">
        <f t="shared" si="7"/>
        <v/>
      </c>
      <c r="I127" s="1735" t="str">
        <f t="shared" ca="1" si="2"/>
        <v/>
      </c>
      <c r="J127" s="1734" t="str">
        <f t="shared" ca="1" si="3"/>
        <v/>
      </c>
      <c r="K127" s="1732" t="str">
        <f t="shared" ca="1" si="8"/>
        <v/>
      </c>
      <c r="L127" s="1740" t="str">
        <f t="shared" ca="1" si="4"/>
        <v/>
      </c>
      <c r="M127" s="1740" t="str">
        <f t="shared" ca="1" si="13"/>
        <v/>
      </c>
      <c r="N127" s="1734" t="str">
        <f t="shared" ca="1" si="9"/>
        <v/>
      </c>
      <c r="O127" s="264"/>
      <c r="P127" s="1669"/>
      <c r="Q127" s="1690">
        <f t="shared" ca="1" si="5"/>
        <v>0</v>
      </c>
      <c r="R127" s="264"/>
      <c r="S127" s="264"/>
      <c r="T127" s="264"/>
      <c r="U127" s="264"/>
      <c r="V127" s="264"/>
    </row>
    <row r="128" spans="1:22" x14ac:dyDescent="0.2">
      <c r="A128" s="264"/>
      <c r="B128" s="1738">
        <v>8</v>
      </c>
      <c r="C128" s="1739">
        <f t="shared" ca="1" si="6"/>
        <v>44666</v>
      </c>
      <c r="D128" s="1732" t="str">
        <f t="shared" ca="1" si="10"/>
        <v/>
      </c>
      <c r="E128" s="1740" t="str">
        <f t="shared" ca="1" si="11"/>
        <v/>
      </c>
      <c r="F128" s="1740" t="str">
        <f t="shared" ca="1" si="12"/>
        <v/>
      </c>
      <c r="G128" s="1750"/>
      <c r="H128" s="1734" t="str">
        <f t="shared" si="7"/>
        <v/>
      </c>
      <c r="I128" s="1735" t="str">
        <f t="shared" ca="1" si="2"/>
        <v/>
      </c>
      <c r="J128" s="1734" t="str">
        <f t="shared" ca="1" si="3"/>
        <v/>
      </c>
      <c r="K128" s="1732" t="str">
        <f t="shared" ca="1" si="8"/>
        <v/>
      </c>
      <c r="L128" s="1740" t="str">
        <f t="shared" ca="1" si="4"/>
        <v/>
      </c>
      <c r="M128" s="1740" t="str">
        <f t="shared" ca="1" si="13"/>
        <v/>
      </c>
      <c r="N128" s="1734" t="str">
        <f t="shared" ca="1" si="9"/>
        <v/>
      </c>
      <c r="O128" s="264"/>
      <c r="P128" s="1669"/>
      <c r="Q128" s="1690">
        <f t="shared" ca="1" si="5"/>
        <v>0</v>
      </c>
      <c r="R128" s="264"/>
      <c r="S128" s="264"/>
      <c r="T128" s="264"/>
      <c r="U128" s="264"/>
      <c r="V128" s="264"/>
    </row>
    <row r="129" spans="1:22" x14ac:dyDescent="0.2">
      <c r="A129" s="264"/>
      <c r="B129" s="1738">
        <v>9</v>
      </c>
      <c r="C129" s="1739">
        <f t="shared" ca="1" si="6"/>
        <v>44696</v>
      </c>
      <c r="D129" s="1732" t="str">
        <f t="shared" ca="1" si="10"/>
        <v/>
      </c>
      <c r="E129" s="1740" t="str">
        <f t="shared" ca="1" si="11"/>
        <v/>
      </c>
      <c r="F129" s="1740" t="str">
        <f t="shared" ca="1" si="12"/>
        <v/>
      </c>
      <c r="G129" s="1750"/>
      <c r="H129" s="1734" t="str">
        <f t="shared" si="7"/>
        <v/>
      </c>
      <c r="I129" s="1735" t="str">
        <f t="shared" ca="1" si="2"/>
        <v/>
      </c>
      <c r="J129" s="1734" t="str">
        <f t="shared" ca="1" si="3"/>
        <v/>
      </c>
      <c r="K129" s="1732" t="str">
        <f t="shared" ca="1" si="8"/>
        <v/>
      </c>
      <c r="L129" s="1740" t="str">
        <f t="shared" ca="1" si="4"/>
        <v/>
      </c>
      <c r="M129" s="1740" t="str">
        <f t="shared" ca="1" si="13"/>
        <v/>
      </c>
      <c r="N129" s="1734" t="str">
        <f t="shared" ca="1" si="9"/>
        <v/>
      </c>
      <c r="O129" s="264"/>
      <c r="P129" s="1669"/>
      <c r="Q129" s="1690">
        <f t="shared" ca="1" si="5"/>
        <v>0</v>
      </c>
      <c r="R129" s="264"/>
      <c r="S129" s="264"/>
      <c r="T129" s="264"/>
      <c r="U129" s="264"/>
      <c r="V129" s="264"/>
    </row>
    <row r="130" spans="1:22" x14ac:dyDescent="0.2">
      <c r="A130" s="264"/>
      <c r="B130" s="1738">
        <v>10</v>
      </c>
      <c r="C130" s="1739">
        <f t="shared" ca="1" si="6"/>
        <v>44727</v>
      </c>
      <c r="D130" s="1732" t="str">
        <f t="shared" ca="1" si="10"/>
        <v/>
      </c>
      <c r="E130" s="1740" t="str">
        <f t="shared" ca="1" si="11"/>
        <v/>
      </c>
      <c r="F130" s="1740" t="str">
        <f t="shared" ca="1" si="12"/>
        <v/>
      </c>
      <c r="G130" s="1750"/>
      <c r="H130" s="1734" t="str">
        <f t="shared" si="7"/>
        <v/>
      </c>
      <c r="I130" s="1735" t="str">
        <f t="shared" ca="1" si="2"/>
        <v/>
      </c>
      <c r="J130" s="1734" t="str">
        <f t="shared" ca="1" si="3"/>
        <v/>
      </c>
      <c r="K130" s="1732" t="str">
        <f ca="1">IFERROR(ROUNDUP(D130/(H$5*H$97*H$98),2),"")</f>
        <v/>
      </c>
      <c r="L130" s="1740" t="str">
        <f t="shared" ca="1" si="4"/>
        <v/>
      </c>
      <c r="M130" s="1740" t="str">
        <f t="shared" ca="1" si="13"/>
        <v/>
      </c>
      <c r="N130" s="1734" t="str">
        <f t="shared" ca="1" si="9"/>
        <v/>
      </c>
      <c r="O130" s="264"/>
      <c r="P130" s="1669"/>
      <c r="Q130" s="1690">
        <f t="shared" ca="1" si="5"/>
        <v>0</v>
      </c>
      <c r="R130" s="264"/>
      <c r="S130" s="264"/>
      <c r="T130" s="264"/>
      <c r="U130" s="264"/>
      <c r="V130" s="264"/>
    </row>
    <row r="131" spans="1:22" x14ac:dyDescent="0.2">
      <c r="A131" s="264"/>
      <c r="B131" s="1738">
        <v>11</v>
      </c>
      <c r="C131" s="1739">
        <f t="shared" ca="1" si="6"/>
        <v>44757</v>
      </c>
      <c r="D131" s="1732" t="str">
        <f t="shared" ca="1" si="10"/>
        <v/>
      </c>
      <c r="E131" s="1740" t="str">
        <f t="shared" ca="1" si="11"/>
        <v/>
      </c>
      <c r="F131" s="1740" t="str">
        <f t="shared" ca="1" si="12"/>
        <v/>
      </c>
      <c r="G131" s="1750"/>
      <c r="H131" s="1734" t="str">
        <f t="shared" si="7"/>
        <v/>
      </c>
      <c r="I131" s="1735" t="str">
        <f t="shared" ca="1" si="2"/>
        <v/>
      </c>
      <c r="J131" s="1734" t="str">
        <f t="shared" ca="1" si="3"/>
        <v/>
      </c>
      <c r="K131" s="1732" t="str">
        <f t="shared" ca="1" si="8"/>
        <v/>
      </c>
      <c r="L131" s="1740" t="str">
        <f t="shared" ca="1" si="4"/>
        <v/>
      </c>
      <c r="M131" s="1740" t="str">
        <f t="shared" ca="1" si="13"/>
        <v/>
      </c>
      <c r="N131" s="1734" t="str">
        <f t="shared" ca="1" si="9"/>
        <v/>
      </c>
      <c r="O131" s="264"/>
      <c r="P131" s="1669"/>
      <c r="Q131" s="1690">
        <f t="shared" ca="1" si="5"/>
        <v>0</v>
      </c>
      <c r="R131" s="264"/>
      <c r="S131" s="264"/>
      <c r="T131" s="264"/>
      <c r="U131" s="264"/>
      <c r="V131" s="264"/>
    </row>
    <row r="132" spans="1:22" x14ac:dyDescent="0.2">
      <c r="A132" s="264"/>
      <c r="B132" s="1738">
        <v>12</v>
      </c>
      <c r="C132" s="1739">
        <f t="shared" ca="1" si="6"/>
        <v>44788</v>
      </c>
      <c r="D132" s="1732" t="str">
        <f t="shared" ca="1" si="10"/>
        <v/>
      </c>
      <c r="E132" s="1740" t="str">
        <f t="shared" ca="1" si="11"/>
        <v/>
      </c>
      <c r="F132" s="1740" t="str">
        <f t="shared" ca="1" si="12"/>
        <v/>
      </c>
      <c r="G132" s="1750"/>
      <c r="H132" s="1734" t="str">
        <f t="shared" si="7"/>
        <v/>
      </c>
      <c r="I132" s="1735" t="str">
        <f t="shared" ca="1" si="2"/>
        <v/>
      </c>
      <c r="J132" s="1734" t="str">
        <f t="shared" ca="1" si="3"/>
        <v/>
      </c>
      <c r="K132" s="1732" t="str">
        <f t="shared" ca="1" si="8"/>
        <v/>
      </c>
      <c r="L132" s="1740" t="str">
        <f t="shared" ca="1" si="4"/>
        <v/>
      </c>
      <c r="M132" s="1740" t="str">
        <f t="shared" ca="1" si="13"/>
        <v/>
      </c>
      <c r="N132" s="1734" t="str">
        <f t="shared" ca="1" si="9"/>
        <v/>
      </c>
      <c r="O132" s="264"/>
      <c r="P132" s="1669"/>
      <c r="Q132" s="1690">
        <f t="shared" ca="1" si="5"/>
        <v>0</v>
      </c>
      <c r="R132" s="264"/>
      <c r="S132" s="264"/>
      <c r="T132" s="264"/>
      <c r="U132" s="264"/>
      <c r="V132" s="264"/>
    </row>
    <row r="133" spans="1:22" x14ac:dyDescent="0.2">
      <c r="A133" s="264"/>
      <c r="B133" s="1738">
        <v>13</v>
      </c>
      <c r="C133" s="1739">
        <f t="shared" ca="1" si="6"/>
        <v>44819</v>
      </c>
      <c r="D133" s="1732" t="str">
        <f t="shared" ca="1" si="10"/>
        <v/>
      </c>
      <c r="E133" s="1740" t="str">
        <f t="shared" ca="1" si="11"/>
        <v/>
      </c>
      <c r="F133" s="1740" t="str">
        <f t="shared" ca="1" si="12"/>
        <v/>
      </c>
      <c r="G133" s="1750"/>
      <c r="H133" s="1734" t="str">
        <f t="shared" si="7"/>
        <v/>
      </c>
      <c r="I133" s="1735" t="str">
        <f t="shared" ca="1" si="2"/>
        <v/>
      </c>
      <c r="J133" s="1734" t="str">
        <f t="shared" ca="1" si="3"/>
        <v/>
      </c>
      <c r="K133" s="1732" t="str">
        <f t="shared" ca="1" si="8"/>
        <v/>
      </c>
      <c r="L133" s="1740" t="str">
        <f t="shared" ca="1" si="4"/>
        <v/>
      </c>
      <c r="M133" s="1740" t="str">
        <f t="shared" ca="1" si="13"/>
        <v/>
      </c>
      <c r="N133" s="1734" t="str">
        <f t="shared" ca="1" si="9"/>
        <v/>
      </c>
      <c r="O133" s="264"/>
      <c r="P133" s="1669"/>
      <c r="Q133" s="1690">
        <f t="shared" ca="1" si="5"/>
        <v>0</v>
      </c>
      <c r="R133" s="264"/>
      <c r="S133" s="264"/>
      <c r="T133" s="264"/>
      <c r="U133" s="264"/>
      <c r="V133" s="264"/>
    </row>
    <row r="134" spans="1:22" x14ac:dyDescent="0.2">
      <c r="A134" s="264"/>
      <c r="B134" s="1738">
        <v>14</v>
      </c>
      <c r="C134" s="1739">
        <f t="shared" ca="1" si="6"/>
        <v>44849</v>
      </c>
      <c r="D134" s="1732" t="str">
        <f t="shared" ca="1" si="10"/>
        <v/>
      </c>
      <c r="E134" s="1740" t="str">
        <f t="shared" ca="1" si="11"/>
        <v/>
      </c>
      <c r="F134" s="1740" t="str">
        <f t="shared" ca="1" si="12"/>
        <v/>
      </c>
      <c r="G134" s="1750"/>
      <c r="H134" s="1734" t="str">
        <f t="shared" si="7"/>
        <v/>
      </c>
      <c r="I134" s="1735" t="str">
        <f t="shared" ca="1" si="2"/>
        <v/>
      </c>
      <c r="J134" s="1734" t="str">
        <f t="shared" ca="1" si="3"/>
        <v/>
      </c>
      <c r="K134" s="1732" t="str">
        <f t="shared" ca="1" si="8"/>
        <v/>
      </c>
      <c r="L134" s="1740" t="str">
        <f t="shared" ca="1" si="4"/>
        <v/>
      </c>
      <c r="M134" s="1740" t="str">
        <f t="shared" ca="1" si="13"/>
        <v/>
      </c>
      <c r="N134" s="1734" t="str">
        <f t="shared" ca="1" si="9"/>
        <v/>
      </c>
      <c r="O134" s="264"/>
      <c r="P134" s="1669"/>
      <c r="Q134" s="1690">
        <f t="shared" ca="1" si="5"/>
        <v>0</v>
      </c>
      <c r="R134" s="264"/>
      <c r="S134" s="264"/>
      <c r="T134" s="264"/>
      <c r="U134" s="264"/>
      <c r="V134" s="264"/>
    </row>
    <row r="135" spans="1:22" x14ac:dyDescent="0.2">
      <c r="A135" s="264"/>
      <c r="B135" s="1738">
        <v>15</v>
      </c>
      <c r="C135" s="1739">
        <f t="shared" ca="1" si="6"/>
        <v>44880</v>
      </c>
      <c r="D135" s="1732" t="str">
        <f t="shared" ca="1" si="10"/>
        <v/>
      </c>
      <c r="E135" s="1740" t="str">
        <f t="shared" ca="1" si="11"/>
        <v/>
      </c>
      <c r="F135" s="1740" t="str">
        <f t="shared" ca="1" si="12"/>
        <v/>
      </c>
      <c r="G135" s="1750"/>
      <c r="H135" s="1734" t="str">
        <f t="shared" si="7"/>
        <v/>
      </c>
      <c r="I135" s="1735" t="str">
        <f t="shared" ca="1" si="2"/>
        <v/>
      </c>
      <c r="J135" s="1734" t="str">
        <f t="shared" ca="1" si="3"/>
        <v/>
      </c>
      <c r="K135" s="1732" t="str">
        <f t="shared" ca="1" si="8"/>
        <v/>
      </c>
      <c r="L135" s="1740" t="str">
        <f t="shared" ca="1" si="4"/>
        <v/>
      </c>
      <c r="M135" s="1740" t="str">
        <f t="shared" ca="1" si="13"/>
        <v/>
      </c>
      <c r="N135" s="1734" t="str">
        <f t="shared" ca="1" si="9"/>
        <v/>
      </c>
      <c r="O135" s="264"/>
      <c r="P135" s="1669"/>
      <c r="Q135" s="1690">
        <f t="shared" ca="1" si="5"/>
        <v>0</v>
      </c>
      <c r="R135" s="264"/>
      <c r="S135" s="264"/>
      <c r="T135" s="264"/>
      <c r="U135" s="264"/>
      <c r="V135" s="264"/>
    </row>
    <row r="136" spans="1:22" x14ac:dyDescent="0.2">
      <c r="A136" s="264"/>
      <c r="B136" s="1738">
        <v>16</v>
      </c>
      <c r="C136" s="1739">
        <f t="shared" ca="1" si="6"/>
        <v>44910</v>
      </c>
      <c r="D136" s="1732" t="str">
        <f t="shared" ca="1" si="10"/>
        <v/>
      </c>
      <c r="E136" s="1740" t="str">
        <f t="shared" ca="1" si="11"/>
        <v/>
      </c>
      <c r="F136" s="1740" t="str">
        <f t="shared" ca="1" si="12"/>
        <v/>
      </c>
      <c r="G136" s="1750"/>
      <c r="H136" s="1734" t="str">
        <f t="shared" si="7"/>
        <v/>
      </c>
      <c r="I136" s="1735" t="str">
        <f t="shared" ca="1" si="2"/>
        <v/>
      </c>
      <c r="J136" s="1734" t="str">
        <f t="shared" ca="1" si="3"/>
        <v/>
      </c>
      <c r="K136" s="1732" t="str">
        <f t="shared" ca="1" si="8"/>
        <v/>
      </c>
      <c r="L136" s="1740" t="str">
        <f t="shared" ca="1" si="4"/>
        <v/>
      </c>
      <c r="M136" s="1740" t="str">
        <f t="shared" ca="1" si="13"/>
        <v/>
      </c>
      <c r="N136" s="1734" t="str">
        <f t="shared" ca="1" si="9"/>
        <v/>
      </c>
      <c r="O136" s="264"/>
      <c r="P136" s="1669"/>
      <c r="Q136" s="1690">
        <f t="shared" ca="1" si="5"/>
        <v>0</v>
      </c>
      <c r="R136" s="264"/>
      <c r="S136" s="264"/>
      <c r="T136" s="264"/>
      <c r="U136" s="264"/>
      <c r="V136" s="264"/>
    </row>
    <row r="137" spans="1:22" x14ac:dyDescent="0.2">
      <c r="A137" s="264"/>
      <c r="B137" s="1738">
        <v>17</v>
      </c>
      <c r="C137" s="1739">
        <f t="shared" ca="1" si="6"/>
        <v>44941</v>
      </c>
      <c r="D137" s="1732" t="str">
        <f t="shared" ca="1" si="10"/>
        <v/>
      </c>
      <c r="E137" s="1740" t="str">
        <f t="shared" ca="1" si="11"/>
        <v/>
      </c>
      <c r="F137" s="1740" t="str">
        <f t="shared" ca="1" si="12"/>
        <v/>
      </c>
      <c r="G137" s="1750"/>
      <c r="H137" s="1734" t="str">
        <f t="shared" si="7"/>
        <v/>
      </c>
      <c r="I137" s="1735" t="str">
        <f t="shared" ca="1" si="2"/>
        <v/>
      </c>
      <c r="J137" s="1734" t="str">
        <f t="shared" ca="1" si="3"/>
        <v/>
      </c>
      <c r="K137" s="1732" t="str">
        <f t="shared" ca="1" si="8"/>
        <v/>
      </c>
      <c r="L137" s="1740" t="str">
        <f t="shared" ca="1" si="4"/>
        <v/>
      </c>
      <c r="M137" s="1740" t="str">
        <f t="shared" ca="1" si="13"/>
        <v/>
      </c>
      <c r="N137" s="1734" t="str">
        <f t="shared" ca="1" si="9"/>
        <v/>
      </c>
      <c r="O137" s="264"/>
      <c r="P137" s="1669"/>
      <c r="Q137" s="1690">
        <f t="shared" ca="1" si="5"/>
        <v>0</v>
      </c>
      <c r="R137" s="264"/>
      <c r="S137" s="264"/>
      <c r="T137" s="264"/>
      <c r="U137" s="264"/>
      <c r="V137" s="264"/>
    </row>
    <row r="138" spans="1:22" x14ac:dyDescent="0.2">
      <c r="A138" s="264"/>
      <c r="B138" s="1738">
        <v>18</v>
      </c>
      <c r="C138" s="1739">
        <f t="shared" ca="1" si="6"/>
        <v>44972</v>
      </c>
      <c r="D138" s="1732" t="str">
        <f t="shared" ca="1" si="10"/>
        <v/>
      </c>
      <c r="E138" s="1740" t="str">
        <f t="shared" ca="1" si="11"/>
        <v/>
      </c>
      <c r="F138" s="1740" t="str">
        <f t="shared" ca="1" si="12"/>
        <v/>
      </c>
      <c r="G138" s="1750"/>
      <c r="H138" s="1734" t="str">
        <f t="shared" si="7"/>
        <v/>
      </c>
      <c r="I138" s="1735" t="str">
        <f t="shared" ca="1" si="2"/>
        <v/>
      </c>
      <c r="J138" s="1734" t="str">
        <f t="shared" ca="1" si="3"/>
        <v/>
      </c>
      <c r="K138" s="1732" t="str">
        <f t="shared" ca="1" si="8"/>
        <v/>
      </c>
      <c r="L138" s="1740" t="str">
        <f t="shared" ca="1" si="4"/>
        <v/>
      </c>
      <c r="M138" s="1740" t="str">
        <f t="shared" ca="1" si="13"/>
        <v/>
      </c>
      <c r="N138" s="1734" t="str">
        <f t="shared" ca="1" si="9"/>
        <v/>
      </c>
      <c r="O138" s="264"/>
      <c r="P138" s="1669"/>
      <c r="Q138" s="1690">
        <f t="shared" ca="1" si="5"/>
        <v>0</v>
      </c>
      <c r="R138" s="264"/>
      <c r="S138" s="264"/>
      <c r="T138" s="264"/>
      <c r="U138" s="264"/>
      <c r="V138" s="264"/>
    </row>
    <row r="139" spans="1:22" x14ac:dyDescent="0.2">
      <c r="A139" s="264"/>
      <c r="B139" s="1738">
        <v>19</v>
      </c>
      <c r="C139" s="1739">
        <f t="shared" ca="1" si="6"/>
        <v>45000</v>
      </c>
      <c r="D139" s="1732" t="str">
        <f t="shared" ca="1" si="10"/>
        <v/>
      </c>
      <c r="E139" s="1740" t="str">
        <f t="shared" ca="1" si="11"/>
        <v/>
      </c>
      <c r="F139" s="1740" t="str">
        <f t="shared" ca="1" si="12"/>
        <v/>
      </c>
      <c r="G139" s="1750"/>
      <c r="H139" s="1734" t="str">
        <f t="shared" si="7"/>
        <v/>
      </c>
      <c r="I139" s="1735" t="str">
        <f t="shared" ca="1" si="2"/>
        <v/>
      </c>
      <c r="J139" s="1734" t="str">
        <f t="shared" ca="1" si="3"/>
        <v/>
      </c>
      <c r="K139" s="1732" t="str">
        <f t="shared" ca="1" si="8"/>
        <v/>
      </c>
      <c r="L139" s="1740" t="str">
        <f t="shared" ca="1" si="4"/>
        <v/>
      </c>
      <c r="M139" s="1740" t="str">
        <f t="shared" ca="1" si="13"/>
        <v/>
      </c>
      <c r="N139" s="1734" t="str">
        <f t="shared" ca="1" si="9"/>
        <v/>
      </c>
      <c r="O139" s="264"/>
      <c r="P139" s="1669"/>
      <c r="Q139" s="1690">
        <f t="shared" ca="1" si="5"/>
        <v>0</v>
      </c>
      <c r="R139" s="264"/>
      <c r="S139" s="264"/>
      <c r="T139" s="264"/>
      <c r="U139" s="264"/>
      <c r="V139" s="264"/>
    </row>
    <row r="140" spans="1:22" x14ac:dyDescent="0.2">
      <c r="A140" s="264"/>
      <c r="B140" s="1738">
        <v>20</v>
      </c>
      <c r="C140" s="1739">
        <f t="shared" ca="1" si="6"/>
        <v>45031</v>
      </c>
      <c r="D140" s="1732" t="str">
        <f t="shared" ca="1" si="10"/>
        <v/>
      </c>
      <c r="E140" s="1740" t="str">
        <f t="shared" ca="1" si="11"/>
        <v/>
      </c>
      <c r="F140" s="1740" t="str">
        <f t="shared" ca="1" si="12"/>
        <v/>
      </c>
      <c r="G140" s="1750"/>
      <c r="H140" s="1734" t="str">
        <f t="shared" si="7"/>
        <v/>
      </c>
      <c r="I140" s="1735" t="str">
        <f t="shared" ca="1" si="2"/>
        <v/>
      </c>
      <c r="J140" s="1734" t="str">
        <f t="shared" ca="1" si="3"/>
        <v/>
      </c>
      <c r="K140" s="1732" t="str">
        <f t="shared" ca="1" si="8"/>
        <v/>
      </c>
      <c r="L140" s="1740" t="str">
        <f t="shared" ca="1" si="4"/>
        <v/>
      </c>
      <c r="M140" s="1740" t="str">
        <f t="shared" ca="1" si="13"/>
        <v/>
      </c>
      <c r="N140" s="1734" t="str">
        <f t="shared" ca="1" si="9"/>
        <v/>
      </c>
      <c r="O140" s="264"/>
      <c r="P140" s="1669"/>
      <c r="Q140" s="1690">
        <f t="shared" ca="1" si="5"/>
        <v>0</v>
      </c>
      <c r="R140" s="264"/>
      <c r="S140" s="264"/>
      <c r="T140" s="264"/>
      <c r="U140" s="264"/>
      <c r="V140" s="264"/>
    </row>
    <row r="141" spans="1:22" x14ac:dyDescent="0.2">
      <c r="A141" s="264"/>
      <c r="B141" s="1738">
        <v>21</v>
      </c>
      <c r="C141" s="1739">
        <f t="shared" ca="1" si="6"/>
        <v>45061</v>
      </c>
      <c r="D141" s="1732" t="str">
        <f t="shared" ca="1" si="10"/>
        <v/>
      </c>
      <c r="E141" s="1740" t="str">
        <f t="shared" ca="1" si="11"/>
        <v/>
      </c>
      <c r="F141" s="1740" t="str">
        <f t="shared" ca="1" si="12"/>
        <v/>
      </c>
      <c r="G141" s="1750"/>
      <c r="H141" s="1734" t="str">
        <f t="shared" si="7"/>
        <v/>
      </c>
      <c r="I141" s="1735" t="str">
        <f t="shared" ca="1" si="2"/>
        <v/>
      </c>
      <c r="J141" s="1734" t="str">
        <f t="shared" ca="1" si="3"/>
        <v/>
      </c>
      <c r="K141" s="1732" t="str">
        <f t="shared" ca="1" si="8"/>
        <v/>
      </c>
      <c r="L141" s="1740" t="str">
        <f t="shared" ca="1" si="4"/>
        <v/>
      </c>
      <c r="M141" s="1740" t="str">
        <f t="shared" ca="1" si="13"/>
        <v/>
      </c>
      <c r="N141" s="1734" t="str">
        <f t="shared" ca="1" si="9"/>
        <v/>
      </c>
      <c r="O141" s="264"/>
      <c r="P141" s="1669"/>
      <c r="Q141" s="1690">
        <f t="shared" ca="1" si="5"/>
        <v>0</v>
      </c>
      <c r="R141" s="264"/>
      <c r="S141" s="264"/>
      <c r="T141" s="264"/>
      <c r="U141" s="264"/>
      <c r="V141" s="264"/>
    </row>
    <row r="142" spans="1:22" x14ac:dyDescent="0.2">
      <c r="A142" s="264"/>
      <c r="B142" s="1738">
        <v>22</v>
      </c>
      <c r="C142" s="1739">
        <f t="shared" ca="1" si="6"/>
        <v>45092</v>
      </c>
      <c r="D142" s="1732" t="str">
        <f t="shared" ca="1" si="10"/>
        <v/>
      </c>
      <c r="E142" s="1740" t="str">
        <f t="shared" ca="1" si="11"/>
        <v/>
      </c>
      <c r="F142" s="1740" t="str">
        <f t="shared" ca="1" si="12"/>
        <v/>
      </c>
      <c r="G142" s="1750"/>
      <c r="H142" s="1734" t="str">
        <f t="shared" si="7"/>
        <v/>
      </c>
      <c r="I142" s="1735" t="str">
        <f t="shared" ca="1" si="2"/>
        <v/>
      </c>
      <c r="J142" s="1734" t="str">
        <f t="shared" ca="1" si="3"/>
        <v/>
      </c>
      <c r="K142" s="1732" t="str">
        <f t="shared" ca="1" si="8"/>
        <v/>
      </c>
      <c r="L142" s="1740" t="str">
        <f t="shared" ca="1" si="4"/>
        <v/>
      </c>
      <c r="M142" s="1740" t="str">
        <f t="shared" ca="1" si="13"/>
        <v/>
      </c>
      <c r="N142" s="1734" t="str">
        <f t="shared" ca="1" si="9"/>
        <v/>
      </c>
      <c r="O142" s="264"/>
      <c r="P142" s="1669"/>
      <c r="Q142" s="1690">
        <f t="shared" ca="1" si="5"/>
        <v>0</v>
      </c>
      <c r="R142" s="264"/>
      <c r="S142" s="264"/>
      <c r="T142" s="264"/>
      <c r="U142" s="264"/>
      <c r="V142" s="264"/>
    </row>
    <row r="143" spans="1:22" x14ac:dyDescent="0.2">
      <c r="A143" s="264"/>
      <c r="B143" s="1738">
        <v>23</v>
      </c>
      <c r="C143" s="1739">
        <f t="shared" ca="1" si="6"/>
        <v>45122</v>
      </c>
      <c r="D143" s="1732" t="str">
        <f t="shared" ca="1" si="10"/>
        <v/>
      </c>
      <c r="E143" s="1740" t="str">
        <f t="shared" ca="1" si="11"/>
        <v/>
      </c>
      <c r="F143" s="1740" t="str">
        <f t="shared" ca="1" si="12"/>
        <v/>
      </c>
      <c r="G143" s="1750"/>
      <c r="H143" s="1734" t="str">
        <f t="shared" si="7"/>
        <v/>
      </c>
      <c r="I143" s="1735" t="str">
        <f t="shared" ca="1" si="2"/>
        <v/>
      </c>
      <c r="J143" s="1734" t="str">
        <f t="shared" ca="1" si="3"/>
        <v/>
      </c>
      <c r="K143" s="1732" t="str">
        <f t="shared" ca="1" si="8"/>
        <v/>
      </c>
      <c r="L143" s="1740" t="str">
        <f t="shared" ca="1" si="4"/>
        <v/>
      </c>
      <c r="M143" s="1740" t="str">
        <f t="shared" ca="1" si="13"/>
        <v/>
      </c>
      <c r="N143" s="1734" t="str">
        <f t="shared" ca="1" si="9"/>
        <v/>
      </c>
      <c r="O143" s="264"/>
      <c r="P143" s="1669"/>
      <c r="Q143" s="1690">
        <f t="shared" ca="1" si="5"/>
        <v>0</v>
      </c>
      <c r="R143" s="264"/>
      <c r="S143" s="264"/>
      <c r="T143" s="264"/>
      <c r="U143" s="264"/>
      <c r="V143" s="264"/>
    </row>
    <row r="144" spans="1:22" x14ac:dyDescent="0.2">
      <c r="A144" s="264"/>
      <c r="B144" s="1738">
        <v>24</v>
      </c>
      <c r="C144" s="1739">
        <f t="shared" ca="1" si="6"/>
        <v>45153</v>
      </c>
      <c r="D144" s="1732" t="str">
        <f t="shared" ca="1" si="10"/>
        <v/>
      </c>
      <c r="E144" s="1740" t="str">
        <f t="shared" ca="1" si="11"/>
        <v/>
      </c>
      <c r="F144" s="1740" t="str">
        <f t="shared" ca="1" si="12"/>
        <v/>
      </c>
      <c r="G144" s="1750"/>
      <c r="H144" s="1734" t="str">
        <f t="shared" si="7"/>
        <v/>
      </c>
      <c r="I144" s="1735" t="str">
        <f t="shared" ca="1" si="2"/>
        <v/>
      </c>
      <c r="J144" s="1734" t="str">
        <f t="shared" ca="1" si="3"/>
        <v/>
      </c>
      <c r="K144" s="1732" t="str">
        <f t="shared" ca="1" si="8"/>
        <v/>
      </c>
      <c r="L144" s="1740" t="str">
        <f t="shared" ca="1" si="4"/>
        <v/>
      </c>
      <c r="M144" s="1740" t="str">
        <f t="shared" ca="1" si="13"/>
        <v/>
      </c>
      <c r="N144" s="1734" t="str">
        <f t="shared" ca="1" si="9"/>
        <v/>
      </c>
      <c r="O144" s="264"/>
      <c r="P144" s="1669"/>
      <c r="Q144" s="1690">
        <f t="shared" ca="1" si="5"/>
        <v>0</v>
      </c>
      <c r="R144" s="264"/>
      <c r="S144" s="264"/>
      <c r="T144" s="264"/>
      <c r="U144" s="264"/>
      <c r="V144" s="264"/>
    </row>
    <row r="145" spans="1:22" x14ac:dyDescent="0.2">
      <c r="A145" s="264"/>
      <c r="B145" s="1738">
        <v>25</v>
      </c>
      <c r="C145" s="1739">
        <f t="shared" ca="1" si="6"/>
        <v>45184</v>
      </c>
      <c r="D145" s="1732" t="str">
        <f t="shared" ca="1" si="10"/>
        <v/>
      </c>
      <c r="E145" s="1740" t="str">
        <f t="shared" ca="1" si="11"/>
        <v/>
      </c>
      <c r="F145" s="1740" t="str">
        <f t="shared" ca="1" si="12"/>
        <v/>
      </c>
      <c r="G145" s="1750"/>
      <c r="H145" s="1734" t="str">
        <f t="shared" si="7"/>
        <v/>
      </c>
      <c r="I145" s="1735" t="str">
        <f t="shared" ca="1" si="2"/>
        <v/>
      </c>
      <c r="J145" s="1734" t="str">
        <f t="shared" ca="1" si="3"/>
        <v/>
      </c>
      <c r="K145" s="1732" t="str">
        <f t="shared" ca="1" si="8"/>
        <v/>
      </c>
      <c r="L145" s="1740" t="str">
        <f t="shared" ca="1" si="4"/>
        <v/>
      </c>
      <c r="M145" s="1740" t="str">
        <f t="shared" ca="1" si="13"/>
        <v/>
      </c>
      <c r="N145" s="1734" t="str">
        <f t="shared" ca="1" si="9"/>
        <v/>
      </c>
      <c r="O145" s="264"/>
      <c r="P145" s="1669"/>
      <c r="Q145" s="1690">
        <f t="shared" ca="1" si="5"/>
        <v>0</v>
      </c>
      <c r="R145" s="264"/>
      <c r="S145" s="264"/>
      <c r="T145" s="264"/>
      <c r="U145" s="264"/>
      <c r="V145" s="264"/>
    </row>
    <row r="146" spans="1:22" x14ac:dyDescent="0.2">
      <c r="A146" s="264"/>
      <c r="B146" s="1738">
        <v>26</v>
      </c>
      <c r="C146" s="1739">
        <f t="shared" ca="1" si="6"/>
        <v>45214</v>
      </c>
      <c r="D146" s="1732" t="str">
        <f t="shared" ca="1" si="10"/>
        <v/>
      </c>
      <c r="E146" s="1740" t="str">
        <f t="shared" ca="1" si="11"/>
        <v/>
      </c>
      <c r="F146" s="1740" t="str">
        <f t="shared" ca="1" si="12"/>
        <v/>
      </c>
      <c r="G146" s="1750"/>
      <c r="H146" s="1734" t="str">
        <f t="shared" si="7"/>
        <v/>
      </c>
      <c r="I146" s="1735" t="str">
        <f t="shared" ca="1" si="2"/>
        <v/>
      </c>
      <c r="J146" s="1734" t="str">
        <f t="shared" ca="1" si="3"/>
        <v/>
      </c>
      <c r="K146" s="1732" t="str">
        <f t="shared" ca="1" si="8"/>
        <v/>
      </c>
      <c r="L146" s="1740" t="str">
        <f t="shared" ca="1" si="4"/>
        <v/>
      </c>
      <c r="M146" s="1740" t="str">
        <f t="shared" ca="1" si="13"/>
        <v/>
      </c>
      <c r="N146" s="1734" t="str">
        <f t="shared" ca="1" si="9"/>
        <v/>
      </c>
      <c r="O146" s="264"/>
      <c r="P146" s="264"/>
      <c r="Q146" s="1690">
        <f t="shared" ca="1" si="5"/>
        <v>0</v>
      </c>
      <c r="R146" s="264"/>
      <c r="S146" s="264"/>
      <c r="T146" s="264"/>
      <c r="U146" s="264"/>
      <c r="V146" s="264"/>
    </row>
    <row r="147" spans="1:22" x14ac:dyDescent="0.2">
      <c r="A147" s="264"/>
      <c r="B147" s="1738">
        <v>27</v>
      </c>
      <c r="C147" s="1739">
        <f t="shared" ca="1" si="6"/>
        <v>45245</v>
      </c>
      <c r="D147" s="1732" t="str">
        <f t="shared" ca="1" si="10"/>
        <v/>
      </c>
      <c r="E147" s="1740" t="str">
        <f t="shared" ca="1" si="11"/>
        <v/>
      </c>
      <c r="F147" s="1740" t="str">
        <f t="shared" ca="1" si="12"/>
        <v/>
      </c>
      <c r="G147" s="1750"/>
      <c r="H147" s="1734" t="str">
        <f t="shared" si="7"/>
        <v/>
      </c>
      <c r="I147" s="1735" t="str">
        <f t="shared" ca="1" si="2"/>
        <v/>
      </c>
      <c r="J147" s="1734" t="str">
        <f t="shared" ca="1" si="3"/>
        <v/>
      </c>
      <c r="K147" s="1732" t="str">
        <f t="shared" ca="1" si="8"/>
        <v/>
      </c>
      <c r="L147" s="1740" t="str">
        <f t="shared" ca="1" si="4"/>
        <v/>
      </c>
      <c r="M147" s="1740" t="str">
        <f t="shared" ca="1" si="13"/>
        <v/>
      </c>
      <c r="N147" s="1734" t="str">
        <f t="shared" ca="1" si="9"/>
        <v/>
      </c>
      <c r="O147" s="264"/>
      <c r="P147" s="264"/>
      <c r="Q147" s="1690">
        <f t="shared" ca="1" si="5"/>
        <v>0</v>
      </c>
      <c r="R147" s="264"/>
      <c r="S147" s="264"/>
      <c r="T147" s="264"/>
      <c r="U147" s="264"/>
      <c r="V147" s="264"/>
    </row>
    <row r="148" spans="1:22" x14ac:dyDescent="0.2">
      <c r="A148" s="264"/>
      <c r="B148" s="1738">
        <v>28</v>
      </c>
      <c r="C148" s="1739">
        <f t="shared" ca="1" si="6"/>
        <v>45275</v>
      </c>
      <c r="D148" s="1732" t="str">
        <f t="shared" ca="1" si="10"/>
        <v/>
      </c>
      <c r="E148" s="1740" t="str">
        <f t="shared" ca="1" si="11"/>
        <v/>
      </c>
      <c r="F148" s="1740" t="str">
        <f t="shared" ca="1" si="12"/>
        <v/>
      </c>
      <c r="G148" s="1750"/>
      <c r="H148" s="1734" t="str">
        <f t="shared" si="7"/>
        <v/>
      </c>
      <c r="I148" s="1735" t="str">
        <f t="shared" ca="1" si="2"/>
        <v/>
      </c>
      <c r="J148" s="1734" t="str">
        <f t="shared" ca="1" si="3"/>
        <v/>
      </c>
      <c r="K148" s="1732" t="str">
        <f t="shared" ca="1" si="8"/>
        <v/>
      </c>
      <c r="L148" s="1740" t="str">
        <f t="shared" ca="1" si="4"/>
        <v/>
      </c>
      <c r="M148" s="1740" t="str">
        <f t="shared" ca="1" si="13"/>
        <v/>
      </c>
      <c r="N148" s="1734" t="str">
        <f t="shared" ca="1" si="9"/>
        <v/>
      </c>
      <c r="O148" s="264"/>
      <c r="P148" s="264"/>
      <c r="Q148" s="1690">
        <f t="shared" ca="1" si="5"/>
        <v>0</v>
      </c>
      <c r="R148" s="264"/>
      <c r="S148" s="264"/>
      <c r="T148" s="264"/>
      <c r="U148" s="264"/>
      <c r="V148" s="264"/>
    </row>
    <row r="149" spans="1:22" x14ac:dyDescent="0.2">
      <c r="A149" s="264"/>
      <c r="B149" s="1738">
        <v>29</v>
      </c>
      <c r="C149" s="1739">
        <f t="shared" ca="1" si="6"/>
        <v>45306</v>
      </c>
      <c r="D149" s="1732" t="str">
        <f t="shared" ca="1" si="10"/>
        <v/>
      </c>
      <c r="E149" s="1740" t="str">
        <f t="shared" ca="1" si="11"/>
        <v/>
      </c>
      <c r="F149" s="1740" t="str">
        <f t="shared" ca="1" si="12"/>
        <v/>
      </c>
      <c r="G149" s="1750"/>
      <c r="H149" s="1734" t="str">
        <f t="shared" si="7"/>
        <v/>
      </c>
      <c r="I149" s="1735" t="str">
        <f t="shared" ca="1" si="2"/>
        <v/>
      </c>
      <c r="J149" s="1734" t="str">
        <f t="shared" ca="1" si="3"/>
        <v/>
      </c>
      <c r="K149" s="1732" t="str">
        <f t="shared" ca="1" si="8"/>
        <v/>
      </c>
      <c r="L149" s="1740" t="str">
        <f t="shared" ca="1" si="4"/>
        <v/>
      </c>
      <c r="M149" s="1740" t="str">
        <f t="shared" ca="1" si="13"/>
        <v/>
      </c>
      <c r="N149" s="1734" t="str">
        <f t="shared" ca="1" si="9"/>
        <v/>
      </c>
      <c r="O149" s="264"/>
      <c r="P149" s="264"/>
      <c r="Q149" s="1690">
        <f t="shared" ca="1" si="5"/>
        <v>0</v>
      </c>
      <c r="R149" s="264"/>
      <c r="S149" s="264"/>
      <c r="T149" s="264"/>
      <c r="U149" s="264"/>
      <c r="V149" s="264"/>
    </row>
    <row r="150" spans="1:22" x14ac:dyDescent="0.2">
      <c r="A150" s="264"/>
      <c r="B150" s="1738">
        <v>30</v>
      </c>
      <c r="C150" s="1739">
        <f t="shared" ca="1" si="6"/>
        <v>45337</v>
      </c>
      <c r="D150" s="1732" t="str">
        <f t="shared" ca="1" si="10"/>
        <v/>
      </c>
      <c r="E150" s="1740" t="str">
        <f t="shared" ca="1" si="11"/>
        <v/>
      </c>
      <c r="F150" s="1740" t="str">
        <f t="shared" ca="1" si="12"/>
        <v/>
      </c>
      <c r="G150" s="1750"/>
      <c r="H150" s="1734" t="str">
        <f t="shared" si="7"/>
        <v/>
      </c>
      <c r="I150" s="1735" t="str">
        <f t="shared" ca="1" si="2"/>
        <v/>
      </c>
      <c r="J150" s="1734" t="str">
        <f t="shared" ca="1" si="3"/>
        <v/>
      </c>
      <c r="K150" s="1732" t="str">
        <f t="shared" ca="1" si="8"/>
        <v/>
      </c>
      <c r="L150" s="1740" t="str">
        <f t="shared" ca="1" si="4"/>
        <v/>
      </c>
      <c r="M150" s="1740" t="str">
        <f t="shared" ca="1" si="13"/>
        <v/>
      </c>
      <c r="N150" s="1734" t="str">
        <f t="shared" ca="1" si="9"/>
        <v/>
      </c>
      <c r="O150" s="264"/>
      <c r="P150" s="264"/>
      <c r="Q150" s="1690">
        <f t="shared" ca="1" si="5"/>
        <v>0</v>
      </c>
      <c r="R150" s="264"/>
      <c r="S150" s="264"/>
      <c r="T150" s="264"/>
      <c r="U150" s="264"/>
      <c r="V150" s="264"/>
    </row>
    <row r="151" spans="1:22" x14ac:dyDescent="0.2">
      <c r="A151" s="264"/>
      <c r="B151" s="1738">
        <v>31</v>
      </c>
      <c r="C151" s="1739">
        <f t="shared" ca="1" si="6"/>
        <v>45366</v>
      </c>
      <c r="D151" s="1732" t="str">
        <f t="shared" ca="1" si="10"/>
        <v/>
      </c>
      <c r="E151" s="1740" t="str">
        <f t="shared" ca="1" si="11"/>
        <v/>
      </c>
      <c r="F151" s="1740" t="str">
        <f t="shared" ca="1" si="12"/>
        <v/>
      </c>
      <c r="G151" s="1750"/>
      <c r="H151" s="1734" t="str">
        <f t="shared" si="7"/>
        <v/>
      </c>
      <c r="I151" s="1735" t="str">
        <f t="shared" ca="1" si="2"/>
        <v/>
      </c>
      <c r="J151" s="1734" t="str">
        <f t="shared" ca="1" si="3"/>
        <v/>
      </c>
      <c r="K151" s="1732" t="str">
        <f t="shared" ca="1" si="8"/>
        <v/>
      </c>
      <c r="L151" s="1740" t="str">
        <f t="shared" ca="1" si="4"/>
        <v/>
      </c>
      <c r="M151" s="1740" t="str">
        <f t="shared" ca="1" si="13"/>
        <v/>
      </c>
      <c r="N151" s="1734" t="str">
        <f t="shared" ca="1" si="9"/>
        <v/>
      </c>
      <c r="O151" s="264"/>
      <c r="P151" s="264"/>
      <c r="Q151" s="1690">
        <f t="shared" ca="1" si="5"/>
        <v>0</v>
      </c>
      <c r="R151" s="264"/>
      <c r="S151" s="264"/>
      <c r="T151" s="264"/>
      <c r="U151" s="264"/>
      <c r="V151" s="264"/>
    </row>
    <row r="152" spans="1:22" x14ac:dyDescent="0.2">
      <c r="A152" s="264"/>
      <c r="B152" s="1738">
        <v>32</v>
      </c>
      <c r="C152" s="1739">
        <f t="shared" ca="1" si="6"/>
        <v>45397</v>
      </c>
      <c r="D152" s="1732" t="str">
        <f t="shared" ca="1" si="10"/>
        <v/>
      </c>
      <c r="E152" s="1740" t="str">
        <f t="shared" ca="1" si="11"/>
        <v/>
      </c>
      <c r="F152" s="1740" t="str">
        <f t="shared" ca="1" si="12"/>
        <v/>
      </c>
      <c r="G152" s="1750"/>
      <c r="H152" s="1734" t="str">
        <f t="shared" si="7"/>
        <v/>
      </c>
      <c r="I152" s="1735" t="str">
        <f t="shared" ca="1" si="2"/>
        <v/>
      </c>
      <c r="J152" s="1734" t="str">
        <f t="shared" ca="1" si="3"/>
        <v/>
      </c>
      <c r="K152" s="1732" t="str">
        <f t="shared" ca="1" si="8"/>
        <v/>
      </c>
      <c r="L152" s="1740" t="str">
        <f t="shared" ca="1" si="4"/>
        <v/>
      </c>
      <c r="M152" s="1740" t="str">
        <f t="shared" ca="1" si="13"/>
        <v/>
      </c>
      <c r="N152" s="1734" t="str">
        <f t="shared" ca="1" si="9"/>
        <v/>
      </c>
      <c r="O152" s="264"/>
      <c r="P152" s="264"/>
      <c r="Q152" s="1690">
        <f t="shared" ca="1" si="5"/>
        <v>0</v>
      </c>
      <c r="R152" s="264"/>
      <c r="S152" s="264"/>
      <c r="T152" s="264"/>
      <c r="U152" s="264"/>
      <c r="V152" s="264"/>
    </row>
    <row r="153" spans="1:22" x14ac:dyDescent="0.2">
      <c r="A153" s="264"/>
      <c r="B153" s="1738">
        <v>33</v>
      </c>
      <c r="C153" s="1739">
        <f t="shared" ca="1" si="6"/>
        <v>45427</v>
      </c>
      <c r="D153" s="1732" t="str">
        <f t="shared" ca="1" si="10"/>
        <v/>
      </c>
      <c r="E153" s="1740" t="str">
        <f t="shared" ca="1" si="11"/>
        <v/>
      </c>
      <c r="F153" s="1740" t="str">
        <f t="shared" ca="1" si="12"/>
        <v/>
      </c>
      <c r="G153" s="1750"/>
      <c r="H153" s="1734" t="str">
        <f t="shared" si="7"/>
        <v/>
      </c>
      <c r="I153" s="1735" t="str">
        <f t="shared" ref="I153:I184" ca="1" si="14">IFERROR(
        IF(C153="",
                "",
                IF(C153&gt;INDEX(C$121:C$220,60),
                        0,
                        ROUND(E153*MIN(1,H$90/H$89),2))),
        "")</f>
        <v/>
      </c>
      <c r="J153" s="1734" t="str">
        <f t="shared" ca="1" si="3"/>
        <v/>
      </c>
      <c r="K153" s="1732" t="str">
        <f t="shared" ref="K153:K184" ca="1" si="15">IFERROR(ROUNDUP(D153/(H$5*H$97*H$98),2),"")</f>
        <v/>
      </c>
      <c r="L153" s="1740" t="str">
        <f t="shared" ref="L153:L184" ca="1" si="16">IFERROR(
        MAX(0,ROUNDUP((D153-IF(B153=1,
                        0,
                        IFERROR(INDEX(I$121:I$220,(B153-H$95)^2/(B153-H$95)),0)))/
                       (H$5*H$97*H$98),
                2)),
        K153)</f>
        <v/>
      </c>
      <c r="M153" s="1740" t="str">
        <f t="shared" ca="1" si="13"/>
        <v/>
      </c>
      <c r="N153" s="1734" t="str">
        <f t="shared" ca="1" si="9"/>
        <v/>
      </c>
      <c r="O153" s="264"/>
      <c r="P153" s="264"/>
      <c r="Q153" s="1690">
        <f t="shared" ca="1" si="5"/>
        <v>0</v>
      </c>
      <c r="R153" s="264"/>
      <c r="S153" s="264"/>
      <c r="T153" s="264"/>
      <c r="U153" s="264"/>
      <c r="V153" s="264"/>
    </row>
    <row r="154" spans="1:22" x14ac:dyDescent="0.2">
      <c r="A154" s="264"/>
      <c r="B154" s="1738">
        <v>34</v>
      </c>
      <c r="C154" s="1739">
        <f t="shared" ref="C154:C185" ca="1" si="17">IFERROR(
        IF(EDATE(C153,1)&gt;EDATE(H$91,H$93),
                "",
                EDATE(C153,1)),
        "")</f>
        <v>45458</v>
      </c>
      <c r="D154" s="1732" t="str">
        <f t="shared" ca="1" si="10"/>
        <v/>
      </c>
      <c r="E154" s="1740" t="str">
        <f t="shared" ca="1" si="11"/>
        <v/>
      </c>
      <c r="F154" s="1740" t="str">
        <f t="shared" ca="1" si="12"/>
        <v/>
      </c>
      <c r="G154" s="1750"/>
      <c r="H154" s="1734" t="str">
        <f t="shared" si="7"/>
        <v/>
      </c>
      <c r="I154" s="1735" t="str">
        <f t="shared" ca="1" si="14"/>
        <v/>
      </c>
      <c r="J154" s="1734" t="str">
        <f t="shared" ca="1" si="3"/>
        <v/>
      </c>
      <c r="K154" s="1732" t="str">
        <f t="shared" ca="1" si="15"/>
        <v/>
      </c>
      <c r="L154" s="1740" t="str">
        <f t="shared" ca="1" si="16"/>
        <v/>
      </c>
      <c r="M154" s="1740" t="str">
        <f t="shared" ca="1" si="13"/>
        <v/>
      </c>
      <c r="N154" s="1734" t="str">
        <f t="shared" ref="N154:N185" ca="1" si="18">IFERROR(ROUND(M154*H$5*H$97*H$98-D154+IFERROR(INDEX(I$121:I$220,(B154-H$95)^2/(B154-H$95)),0)+N153,2),"")</f>
        <v/>
      </c>
      <c r="O154" s="264"/>
      <c r="P154" s="264"/>
      <c r="Q154" s="1690">
        <f t="shared" ca="1" si="5"/>
        <v>0</v>
      </c>
      <c r="R154" s="264"/>
      <c r="S154" s="264"/>
      <c r="T154" s="264"/>
      <c r="U154" s="264"/>
      <c r="V154" s="264"/>
    </row>
    <row r="155" spans="1:22" x14ac:dyDescent="0.2">
      <c r="A155" s="264"/>
      <c r="B155" s="1738">
        <v>35</v>
      </c>
      <c r="C155" s="1739">
        <f t="shared" ca="1" si="17"/>
        <v>45488</v>
      </c>
      <c r="D155" s="1732" t="str">
        <f t="shared" ca="1" si="10"/>
        <v/>
      </c>
      <c r="E155" s="1740" t="str">
        <f t="shared" ca="1" si="11"/>
        <v/>
      </c>
      <c r="F155" s="1740" t="str">
        <f t="shared" ca="1" si="12"/>
        <v/>
      </c>
      <c r="G155" s="1750"/>
      <c r="H155" s="1734" t="str">
        <f t="shared" si="7"/>
        <v/>
      </c>
      <c r="I155" s="1735" t="str">
        <f t="shared" ca="1" si="14"/>
        <v/>
      </c>
      <c r="J155" s="1734" t="str">
        <f t="shared" ca="1" si="3"/>
        <v/>
      </c>
      <c r="K155" s="1732" t="str">
        <f t="shared" ca="1" si="15"/>
        <v/>
      </c>
      <c r="L155" s="1740" t="str">
        <f t="shared" ca="1" si="16"/>
        <v/>
      </c>
      <c r="M155" s="1740" t="str">
        <f t="shared" ref="M155:M186" ca="1"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4" t="str">
        <f t="shared" ca="1" si="18"/>
        <v/>
      </c>
      <c r="O155" s="264"/>
      <c r="P155" s="264"/>
      <c r="Q155" s="1690">
        <f t="shared" ca="1" si="5"/>
        <v>0</v>
      </c>
      <c r="R155" s="264"/>
      <c r="S155" s="264"/>
      <c r="T155" s="264"/>
      <c r="U155" s="264"/>
      <c r="V155" s="264"/>
    </row>
    <row r="156" spans="1:22" x14ac:dyDescent="0.2">
      <c r="A156" s="264"/>
      <c r="B156" s="1738">
        <v>36</v>
      </c>
      <c r="C156" s="1739">
        <f t="shared" ca="1" si="17"/>
        <v>45519</v>
      </c>
      <c r="D156" s="1732" t="str">
        <f t="shared" ca="1" si="10"/>
        <v/>
      </c>
      <c r="E156" s="1740" t="str">
        <f t="shared" ca="1" si="11"/>
        <v/>
      </c>
      <c r="F156" s="1740" t="str">
        <f t="shared" ca="1" si="12"/>
        <v/>
      </c>
      <c r="G156" s="1750"/>
      <c r="H156" s="1734" t="str">
        <f t="shared" si="7"/>
        <v/>
      </c>
      <c r="I156" s="1735" t="str">
        <f t="shared" ca="1" si="14"/>
        <v/>
      </c>
      <c r="J156" s="1734" t="str">
        <f t="shared" ca="1" si="3"/>
        <v/>
      </c>
      <c r="K156" s="1732" t="str">
        <f t="shared" ca="1" si="15"/>
        <v/>
      </c>
      <c r="L156" s="1740" t="str">
        <f t="shared" ca="1" si="16"/>
        <v/>
      </c>
      <c r="M156" s="1740" t="str">
        <f t="shared" ca="1" si="19"/>
        <v/>
      </c>
      <c r="N156" s="1734" t="str">
        <f t="shared" ca="1" si="18"/>
        <v/>
      </c>
      <c r="O156" s="264"/>
      <c r="P156" s="264"/>
      <c r="Q156" s="1690">
        <f t="shared" ca="1" si="5"/>
        <v>0</v>
      </c>
      <c r="R156" s="264"/>
      <c r="S156" s="264"/>
      <c r="T156" s="264"/>
      <c r="U156" s="264"/>
      <c r="V156" s="264"/>
    </row>
    <row r="157" spans="1:22" x14ac:dyDescent="0.2">
      <c r="A157" s="264"/>
      <c r="B157" s="1738">
        <v>37</v>
      </c>
      <c r="C157" s="1739">
        <f t="shared" ca="1" si="17"/>
        <v>45550</v>
      </c>
      <c r="D157" s="1732" t="str">
        <f t="shared" ca="1" si="10"/>
        <v/>
      </c>
      <c r="E157" s="1740" t="str">
        <f t="shared" ca="1" si="11"/>
        <v/>
      </c>
      <c r="F157" s="1740" t="str">
        <f t="shared" ca="1" si="12"/>
        <v/>
      </c>
      <c r="G157" s="1750"/>
      <c r="H157" s="1734" t="str">
        <f t="shared" si="7"/>
        <v/>
      </c>
      <c r="I157" s="1735" t="str">
        <f t="shared" ca="1" si="14"/>
        <v/>
      </c>
      <c r="J157" s="1734" t="str">
        <f t="shared" ca="1" si="3"/>
        <v/>
      </c>
      <c r="K157" s="1732" t="str">
        <f t="shared" ca="1" si="15"/>
        <v/>
      </c>
      <c r="L157" s="1740" t="str">
        <f t="shared" ca="1" si="16"/>
        <v/>
      </c>
      <c r="M157" s="1740" t="str">
        <f t="shared" ca="1" si="19"/>
        <v/>
      </c>
      <c r="N157" s="1734" t="str">
        <f t="shared" ca="1" si="18"/>
        <v/>
      </c>
      <c r="O157" s="264"/>
      <c r="P157" s="264"/>
      <c r="Q157" s="1690">
        <f t="shared" ca="1" si="5"/>
        <v>0</v>
      </c>
      <c r="R157" s="264"/>
      <c r="S157" s="264"/>
      <c r="T157" s="264"/>
      <c r="U157" s="264"/>
      <c r="V157" s="264"/>
    </row>
    <row r="158" spans="1:22" x14ac:dyDescent="0.2">
      <c r="A158" s="264"/>
      <c r="B158" s="1738">
        <v>38</v>
      </c>
      <c r="C158" s="1739">
        <f t="shared" ca="1" si="17"/>
        <v>45580</v>
      </c>
      <c r="D158" s="1732" t="str">
        <f t="shared" ca="1" si="10"/>
        <v/>
      </c>
      <c r="E158" s="1740" t="str">
        <f t="shared" ca="1" si="11"/>
        <v/>
      </c>
      <c r="F158" s="1740" t="str">
        <f t="shared" ca="1" si="12"/>
        <v/>
      </c>
      <c r="G158" s="1750"/>
      <c r="H158" s="1734" t="str">
        <f t="shared" si="7"/>
        <v/>
      </c>
      <c r="I158" s="1735" t="str">
        <f t="shared" ca="1" si="14"/>
        <v/>
      </c>
      <c r="J158" s="1734" t="str">
        <f t="shared" ca="1" si="3"/>
        <v/>
      </c>
      <c r="K158" s="1732" t="str">
        <f t="shared" ca="1" si="15"/>
        <v/>
      </c>
      <c r="L158" s="1740" t="str">
        <f t="shared" ca="1" si="16"/>
        <v/>
      </c>
      <c r="M158" s="1740" t="str">
        <f t="shared" ca="1" si="19"/>
        <v/>
      </c>
      <c r="N158" s="1734" t="str">
        <f t="shared" ca="1" si="18"/>
        <v/>
      </c>
      <c r="O158" s="264"/>
      <c r="P158" s="264"/>
      <c r="Q158" s="1690">
        <f t="shared" ca="1" si="5"/>
        <v>0</v>
      </c>
      <c r="R158" s="264"/>
      <c r="S158" s="264"/>
      <c r="T158" s="264"/>
      <c r="U158" s="264"/>
      <c r="V158" s="264"/>
    </row>
    <row r="159" spans="1:22" x14ac:dyDescent="0.2">
      <c r="A159" s="264"/>
      <c r="B159" s="1738">
        <v>39</v>
      </c>
      <c r="C159" s="1739">
        <f t="shared" ca="1" si="17"/>
        <v>45611</v>
      </c>
      <c r="D159" s="1732" t="str">
        <f t="shared" ca="1" si="10"/>
        <v/>
      </c>
      <c r="E159" s="1740" t="str">
        <f t="shared" ca="1" si="11"/>
        <v/>
      </c>
      <c r="F159" s="1740" t="str">
        <f t="shared" ca="1" si="12"/>
        <v/>
      </c>
      <c r="G159" s="1750"/>
      <c r="H159" s="1734" t="str">
        <f t="shared" si="7"/>
        <v/>
      </c>
      <c r="I159" s="1735" t="str">
        <f t="shared" ca="1" si="14"/>
        <v/>
      </c>
      <c r="J159" s="1734" t="str">
        <f t="shared" ca="1" si="3"/>
        <v/>
      </c>
      <c r="K159" s="1732" t="str">
        <f t="shared" ca="1" si="15"/>
        <v/>
      </c>
      <c r="L159" s="1740" t="str">
        <f t="shared" ca="1" si="16"/>
        <v/>
      </c>
      <c r="M159" s="1740" t="str">
        <f t="shared" ca="1" si="19"/>
        <v/>
      </c>
      <c r="N159" s="1734" t="str">
        <f t="shared" ca="1" si="18"/>
        <v/>
      </c>
      <c r="O159" s="264"/>
      <c r="P159" s="264"/>
      <c r="Q159" s="1690">
        <f t="shared" ca="1" si="5"/>
        <v>0</v>
      </c>
      <c r="R159" s="264"/>
      <c r="S159" s="264"/>
      <c r="T159" s="264"/>
      <c r="U159" s="264"/>
      <c r="V159" s="264"/>
    </row>
    <row r="160" spans="1:22" x14ac:dyDescent="0.2">
      <c r="A160" s="264"/>
      <c r="B160" s="1738">
        <v>40</v>
      </c>
      <c r="C160" s="1739">
        <f t="shared" ca="1" si="17"/>
        <v>45641</v>
      </c>
      <c r="D160" s="1732" t="str">
        <f t="shared" ca="1" si="10"/>
        <v/>
      </c>
      <c r="E160" s="1740" t="str">
        <f t="shared" ca="1" si="11"/>
        <v/>
      </c>
      <c r="F160" s="1740" t="str">
        <f t="shared" ca="1" si="12"/>
        <v/>
      </c>
      <c r="G160" s="1750"/>
      <c r="H160" s="1734" t="str">
        <f t="shared" si="7"/>
        <v/>
      </c>
      <c r="I160" s="1735" t="str">
        <f t="shared" ca="1" si="14"/>
        <v/>
      </c>
      <c r="J160" s="1734" t="str">
        <f t="shared" ca="1" si="3"/>
        <v/>
      </c>
      <c r="K160" s="1732" t="str">
        <f t="shared" ca="1" si="15"/>
        <v/>
      </c>
      <c r="L160" s="1740" t="str">
        <f t="shared" ca="1" si="16"/>
        <v/>
      </c>
      <c r="M160" s="1740" t="str">
        <f t="shared" ca="1" si="19"/>
        <v/>
      </c>
      <c r="N160" s="1734" t="str">
        <f t="shared" ca="1" si="18"/>
        <v/>
      </c>
      <c r="O160" s="264"/>
      <c r="P160" s="264"/>
      <c r="Q160" s="1690">
        <f t="shared" ca="1" si="5"/>
        <v>0</v>
      </c>
      <c r="R160" s="264"/>
      <c r="S160" s="264"/>
      <c r="T160" s="264"/>
      <c r="U160" s="264"/>
      <c r="V160" s="264"/>
    </row>
    <row r="161" spans="1:22" x14ac:dyDescent="0.2">
      <c r="A161" s="264"/>
      <c r="B161" s="1738">
        <v>41</v>
      </c>
      <c r="C161" s="1739">
        <f t="shared" ca="1" si="17"/>
        <v>45672</v>
      </c>
      <c r="D161" s="1732" t="str">
        <f t="shared" ca="1" si="10"/>
        <v/>
      </c>
      <c r="E161" s="1740" t="str">
        <f t="shared" ca="1" si="11"/>
        <v/>
      </c>
      <c r="F161" s="1740" t="str">
        <f t="shared" ca="1" si="12"/>
        <v/>
      </c>
      <c r="G161" s="1750"/>
      <c r="H161" s="1734" t="str">
        <f t="shared" si="7"/>
        <v/>
      </c>
      <c r="I161" s="1735" t="str">
        <f t="shared" ca="1" si="14"/>
        <v/>
      </c>
      <c r="J161" s="1734" t="str">
        <f t="shared" ca="1" si="3"/>
        <v/>
      </c>
      <c r="K161" s="1732" t="str">
        <f t="shared" ca="1" si="15"/>
        <v/>
      </c>
      <c r="L161" s="1740" t="str">
        <f t="shared" ca="1" si="16"/>
        <v/>
      </c>
      <c r="M161" s="1740" t="str">
        <f t="shared" ca="1" si="19"/>
        <v/>
      </c>
      <c r="N161" s="1734" t="str">
        <f t="shared" ca="1" si="18"/>
        <v/>
      </c>
      <c r="O161" s="264"/>
      <c r="P161" s="264"/>
      <c r="Q161" s="1690">
        <f t="shared" ca="1" si="5"/>
        <v>0</v>
      </c>
      <c r="R161" s="264"/>
      <c r="S161" s="264"/>
      <c r="T161" s="264"/>
      <c r="U161" s="264"/>
      <c r="V161" s="264"/>
    </row>
    <row r="162" spans="1:22" x14ac:dyDescent="0.2">
      <c r="A162" s="264"/>
      <c r="B162" s="1738">
        <v>42</v>
      </c>
      <c r="C162" s="1739">
        <f t="shared" ca="1" si="17"/>
        <v>45703</v>
      </c>
      <c r="D162" s="1732" t="str">
        <f t="shared" ca="1" si="10"/>
        <v/>
      </c>
      <c r="E162" s="1740" t="str">
        <f t="shared" ca="1" si="11"/>
        <v/>
      </c>
      <c r="F162" s="1740" t="str">
        <f t="shared" ca="1" si="12"/>
        <v/>
      </c>
      <c r="G162" s="1750"/>
      <c r="H162" s="1734" t="str">
        <f t="shared" si="7"/>
        <v/>
      </c>
      <c r="I162" s="1735" t="str">
        <f t="shared" ca="1" si="14"/>
        <v/>
      </c>
      <c r="J162" s="1734" t="str">
        <f t="shared" ca="1" si="3"/>
        <v/>
      </c>
      <c r="K162" s="1732" t="str">
        <f t="shared" ca="1" si="15"/>
        <v/>
      </c>
      <c r="L162" s="1740" t="str">
        <f t="shared" ca="1" si="16"/>
        <v/>
      </c>
      <c r="M162" s="1740" t="str">
        <f t="shared" ca="1" si="19"/>
        <v/>
      </c>
      <c r="N162" s="1734" t="str">
        <f t="shared" ca="1" si="18"/>
        <v/>
      </c>
      <c r="O162" s="264"/>
      <c r="P162" s="264"/>
      <c r="Q162" s="1690">
        <f t="shared" ca="1" si="5"/>
        <v>0</v>
      </c>
      <c r="R162" s="264"/>
      <c r="S162" s="264"/>
      <c r="T162" s="264"/>
      <c r="U162" s="264"/>
      <c r="V162" s="264"/>
    </row>
    <row r="163" spans="1:22" x14ac:dyDescent="0.2">
      <c r="A163" s="264"/>
      <c r="B163" s="1738">
        <v>43</v>
      </c>
      <c r="C163" s="1739">
        <f t="shared" ca="1" si="17"/>
        <v>45731</v>
      </c>
      <c r="D163" s="1732" t="str">
        <f t="shared" ca="1" si="10"/>
        <v/>
      </c>
      <c r="E163" s="1740" t="str">
        <f t="shared" ca="1" si="11"/>
        <v/>
      </c>
      <c r="F163" s="1740" t="str">
        <f t="shared" ca="1" si="12"/>
        <v/>
      </c>
      <c r="G163" s="1750"/>
      <c r="H163" s="1734" t="str">
        <f t="shared" si="7"/>
        <v/>
      </c>
      <c r="I163" s="1735" t="str">
        <f t="shared" ca="1" si="14"/>
        <v/>
      </c>
      <c r="J163" s="1734" t="str">
        <f t="shared" ca="1" si="3"/>
        <v/>
      </c>
      <c r="K163" s="1732" t="str">
        <f t="shared" ca="1" si="15"/>
        <v/>
      </c>
      <c r="L163" s="1740" t="str">
        <f t="shared" ca="1" si="16"/>
        <v/>
      </c>
      <c r="M163" s="1740" t="str">
        <f t="shared" ca="1" si="19"/>
        <v/>
      </c>
      <c r="N163" s="1734" t="str">
        <f t="shared" ca="1" si="18"/>
        <v/>
      </c>
      <c r="O163" s="264"/>
      <c r="P163" s="264"/>
      <c r="Q163" s="1690">
        <f t="shared" ca="1" si="5"/>
        <v>0</v>
      </c>
      <c r="R163" s="264"/>
      <c r="S163" s="264"/>
      <c r="T163" s="264"/>
      <c r="U163" s="264"/>
      <c r="V163" s="264"/>
    </row>
    <row r="164" spans="1:22" x14ac:dyDescent="0.2">
      <c r="A164" s="264"/>
      <c r="B164" s="1738">
        <v>44</v>
      </c>
      <c r="C164" s="1739">
        <f t="shared" ca="1" si="17"/>
        <v>45762</v>
      </c>
      <c r="D164" s="1732" t="str">
        <f t="shared" ca="1" si="10"/>
        <v/>
      </c>
      <c r="E164" s="1740" t="str">
        <f t="shared" ca="1" si="11"/>
        <v/>
      </c>
      <c r="F164" s="1740" t="str">
        <f t="shared" ca="1" si="12"/>
        <v/>
      </c>
      <c r="G164" s="1750"/>
      <c r="H164" s="1734" t="str">
        <f t="shared" si="7"/>
        <v/>
      </c>
      <c r="I164" s="1735" t="str">
        <f t="shared" ca="1" si="14"/>
        <v/>
      </c>
      <c r="J164" s="1734" t="str">
        <f t="shared" ca="1" si="3"/>
        <v/>
      </c>
      <c r="K164" s="1732" t="str">
        <f t="shared" ca="1" si="15"/>
        <v/>
      </c>
      <c r="L164" s="1740" t="str">
        <f t="shared" ca="1" si="16"/>
        <v/>
      </c>
      <c r="M164" s="1740" t="str">
        <f t="shared" ca="1" si="19"/>
        <v/>
      </c>
      <c r="N164" s="1734" t="str">
        <f t="shared" ca="1" si="18"/>
        <v/>
      </c>
      <c r="O164" s="264"/>
      <c r="P164" s="264"/>
      <c r="Q164" s="1690">
        <f t="shared" ca="1" si="5"/>
        <v>0</v>
      </c>
      <c r="R164" s="264"/>
      <c r="S164" s="264"/>
      <c r="T164" s="264"/>
      <c r="U164" s="264"/>
      <c r="V164" s="264"/>
    </row>
    <row r="165" spans="1:22" x14ac:dyDescent="0.2">
      <c r="A165" s="264"/>
      <c r="B165" s="1738">
        <v>45</v>
      </c>
      <c r="C165" s="1739">
        <f t="shared" ca="1" si="17"/>
        <v>45792</v>
      </c>
      <c r="D165" s="1732" t="str">
        <f t="shared" ca="1" si="10"/>
        <v/>
      </c>
      <c r="E165" s="1740" t="str">
        <f t="shared" ca="1" si="11"/>
        <v/>
      </c>
      <c r="F165" s="1740" t="str">
        <f t="shared" ca="1" si="12"/>
        <v/>
      </c>
      <c r="G165" s="1750"/>
      <c r="H165" s="1734" t="str">
        <f t="shared" si="7"/>
        <v/>
      </c>
      <c r="I165" s="1735" t="str">
        <f t="shared" ca="1" si="14"/>
        <v/>
      </c>
      <c r="J165" s="1734" t="str">
        <f t="shared" ca="1" si="3"/>
        <v/>
      </c>
      <c r="K165" s="1732" t="str">
        <f t="shared" ca="1" si="15"/>
        <v/>
      </c>
      <c r="L165" s="1740" t="str">
        <f t="shared" ca="1" si="16"/>
        <v/>
      </c>
      <c r="M165" s="1740" t="str">
        <f t="shared" ca="1" si="19"/>
        <v/>
      </c>
      <c r="N165" s="1734" t="str">
        <f t="shared" ca="1" si="18"/>
        <v/>
      </c>
      <c r="O165" s="264"/>
      <c r="P165" s="264"/>
      <c r="Q165" s="1690">
        <f t="shared" ca="1" si="5"/>
        <v>0</v>
      </c>
      <c r="R165" s="264"/>
      <c r="S165" s="264"/>
      <c r="T165" s="264"/>
      <c r="U165" s="264"/>
      <c r="V165" s="264"/>
    </row>
    <row r="166" spans="1:22" x14ac:dyDescent="0.2">
      <c r="A166" s="264"/>
      <c r="B166" s="1738">
        <v>46</v>
      </c>
      <c r="C166" s="1739">
        <f t="shared" ca="1" si="17"/>
        <v>45823</v>
      </c>
      <c r="D166" s="1732" t="str">
        <f t="shared" ca="1" si="10"/>
        <v/>
      </c>
      <c r="E166" s="1740" t="str">
        <f t="shared" ca="1" si="11"/>
        <v/>
      </c>
      <c r="F166" s="1740" t="str">
        <f t="shared" ca="1" si="12"/>
        <v/>
      </c>
      <c r="G166" s="1750"/>
      <c r="H166" s="1734" t="str">
        <f t="shared" si="7"/>
        <v/>
      </c>
      <c r="I166" s="1735" t="str">
        <f t="shared" ca="1" si="14"/>
        <v/>
      </c>
      <c r="J166" s="1734" t="str">
        <f t="shared" ca="1" si="3"/>
        <v/>
      </c>
      <c r="K166" s="1732" t="str">
        <f t="shared" ca="1" si="15"/>
        <v/>
      </c>
      <c r="L166" s="1740" t="str">
        <f t="shared" ca="1" si="16"/>
        <v/>
      </c>
      <c r="M166" s="1740" t="str">
        <f t="shared" ca="1" si="19"/>
        <v/>
      </c>
      <c r="N166" s="1734" t="str">
        <f t="shared" ca="1" si="18"/>
        <v/>
      </c>
      <c r="O166" s="264"/>
      <c r="P166" s="264"/>
      <c r="Q166" s="1690">
        <f t="shared" ca="1" si="5"/>
        <v>0</v>
      </c>
      <c r="R166" s="264"/>
      <c r="S166" s="264"/>
      <c r="T166" s="264"/>
      <c r="U166" s="264"/>
      <c r="V166" s="264"/>
    </row>
    <row r="167" spans="1:22" x14ac:dyDescent="0.2">
      <c r="A167" s="264"/>
      <c r="B167" s="1738">
        <v>47</v>
      </c>
      <c r="C167" s="1739">
        <f t="shared" ca="1" si="17"/>
        <v>45853</v>
      </c>
      <c r="D167" s="1732" t="str">
        <f t="shared" ca="1" si="10"/>
        <v/>
      </c>
      <c r="E167" s="1740" t="str">
        <f t="shared" ca="1" si="11"/>
        <v/>
      </c>
      <c r="F167" s="1740" t="str">
        <f t="shared" ca="1" si="12"/>
        <v/>
      </c>
      <c r="G167" s="1750"/>
      <c r="H167" s="1734" t="str">
        <f t="shared" si="7"/>
        <v/>
      </c>
      <c r="I167" s="1735" t="str">
        <f t="shared" ca="1" si="14"/>
        <v/>
      </c>
      <c r="J167" s="1734" t="str">
        <f t="shared" ca="1" si="3"/>
        <v/>
      </c>
      <c r="K167" s="1732" t="str">
        <f t="shared" ca="1" si="15"/>
        <v/>
      </c>
      <c r="L167" s="1740" t="str">
        <f t="shared" ca="1" si="16"/>
        <v/>
      </c>
      <c r="M167" s="1740" t="str">
        <f t="shared" ca="1" si="19"/>
        <v/>
      </c>
      <c r="N167" s="1734" t="str">
        <f t="shared" ca="1" si="18"/>
        <v/>
      </c>
      <c r="O167" s="264"/>
      <c r="P167" s="264"/>
      <c r="Q167" s="1690">
        <f t="shared" ca="1" si="5"/>
        <v>0</v>
      </c>
      <c r="R167" s="264"/>
      <c r="S167" s="264"/>
      <c r="T167" s="264"/>
      <c r="U167" s="264"/>
      <c r="V167" s="264"/>
    </row>
    <row r="168" spans="1:22" x14ac:dyDescent="0.2">
      <c r="A168" s="264"/>
      <c r="B168" s="1738">
        <v>48</v>
      </c>
      <c r="C168" s="1739">
        <f t="shared" ca="1" si="17"/>
        <v>45884</v>
      </c>
      <c r="D168" s="1732" t="str">
        <f t="shared" ca="1" si="10"/>
        <v/>
      </c>
      <c r="E168" s="1740" t="str">
        <f t="shared" ca="1" si="11"/>
        <v/>
      </c>
      <c r="F168" s="1740" t="str">
        <f t="shared" ca="1" si="12"/>
        <v/>
      </c>
      <c r="G168" s="1750"/>
      <c r="H168" s="1734" t="str">
        <f t="shared" si="7"/>
        <v/>
      </c>
      <c r="I168" s="1735" t="str">
        <f t="shared" ca="1" si="14"/>
        <v/>
      </c>
      <c r="J168" s="1734" t="str">
        <f t="shared" ca="1" si="3"/>
        <v/>
      </c>
      <c r="K168" s="1732" t="str">
        <f t="shared" ca="1" si="15"/>
        <v/>
      </c>
      <c r="L168" s="1740" t="str">
        <f t="shared" ca="1" si="16"/>
        <v/>
      </c>
      <c r="M168" s="1740" t="str">
        <f t="shared" ca="1" si="19"/>
        <v/>
      </c>
      <c r="N168" s="1734" t="str">
        <f t="shared" ca="1" si="18"/>
        <v/>
      </c>
      <c r="O168" s="264"/>
      <c r="P168" s="264"/>
      <c r="Q168" s="1690">
        <f ca="1">IFERROR(IF(K168&gt;=0,H$6,""),"")</f>
        <v>0</v>
      </c>
      <c r="R168" s="264"/>
      <c r="S168" s="264"/>
      <c r="T168" s="264"/>
      <c r="U168" s="264"/>
      <c r="V168" s="264"/>
    </row>
    <row r="169" spans="1:22" x14ac:dyDescent="0.2">
      <c r="A169" s="264"/>
      <c r="B169" s="1738">
        <v>49</v>
      </c>
      <c r="C169" s="1739">
        <f t="shared" ca="1" si="17"/>
        <v>45915</v>
      </c>
      <c r="D169" s="1732" t="str">
        <f t="shared" ca="1" si="10"/>
        <v/>
      </c>
      <c r="E169" s="1740" t="str">
        <f t="shared" ca="1" si="11"/>
        <v/>
      </c>
      <c r="F169" s="1740" t="str">
        <f t="shared" ca="1" si="12"/>
        <v/>
      </c>
      <c r="G169" s="1750"/>
      <c r="H169" s="1734" t="str">
        <f t="shared" si="7"/>
        <v/>
      </c>
      <c r="I169" s="1735" t="str">
        <f t="shared" ca="1" si="14"/>
        <v/>
      </c>
      <c r="J169" s="1734" t="str">
        <f t="shared" ca="1" si="3"/>
        <v/>
      </c>
      <c r="K169" s="1732" t="str">
        <f t="shared" ca="1" si="15"/>
        <v/>
      </c>
      <c r="L169" s="1740" t="str">
        <f t="shared" ca="1" si="16"/>
        <v/>
      </c>
      <c r="M169" s="1740" t="str">
        <f t="shared" ca="1" si="19"/>
        <v/>
      </c>
      <c r="N169" s="1734" t="str">
        <f t="shared" ca="1" si="18"/>
        <v/>
      </c>
      <c r="O169" s="264"/>
      <c r="P169" s="264"/>
      <c r="Q169" s="1690">
        <f t="shared" ref="Q169:Q180" ca="1" si="20">IFERROR(IF(K169&gt;=0,H$6,""),"")</f>
        <v>0</v>
      </c>
      <c r="R169" s="264"/>
      <c r="S169" s="264"/>
      <c r="T169" s="264"/>
      <c r="U169" s="264"/>
      <c r="V169" s="264"/>
    </row>
    <row r="170" spans="1:22" x14ac:dyDescent="0.2">
      <c r="A170" s="264"/>
      <c r="B170" s="1738">
        <v>50</v>
      </c>
      <c r="C170" s="1739">
        <f t="shared" ca="1" si="17"/>
        <v>45945</v>
      </c>
      <c r="D170" s="1732" t="str">
        <f t="shared" ca="1" si="10"/>
        <v/>
      </c>
      <c r="E170" s="1740" t="str">
        <f t="shared" ca="1" si="11"/>
        <v/>
      </c>
      <c r="F170" s="1740" t="str">
        <f t="shared" ca="1" si="12"/>
        <v/>
      </c>
      <c r="G170" s="1750"/>
      <c r="H170" s="1734" t="str">
        <f t="shared" si="7"/>
        <v/>
      </c>
      <c r="I170" s="1735" t="str">
        <f t="shared" ca="1" si="14"/>
        <v/>
      </c>
      <c r="J170" s="1734" t="str">
        <f t="shared" ca="1" si="3"/>
        <v/>
      </c>
      <c r="K170" s="1732" t="str">
        <f t="shared" ca="1" si="15"/>
        <v/>
      </c>
      <c r="L170" s="1740" t="str">
        <f t="shared" ca="1" si="16"/>
        <v/>
      </c>
      <c r="M170" s="1740" t="str">
        <f t="shared" ca="1" si="19"/>
        <v/>
      </c>
      <c r="N170" s="1734" t="str">
        <f t="shared" ca="1" si="18"/>
        <v/>
      </c>
      <c r="O170" s="264"/>
      <c r="P170" s="264"/>
      <c r="Q170" s="1690">
        <f t="shared" ca="1" si="20"/>
        <v>0</v>
      </c>
      <c r="R170" s="264"/>
      <c r="S170" s="264"/>
      <c r="T170" s="264"/>
      <c r="U170" s="264"/>
      <c r="V170" s="264"/>
    </row>
    <row r="171" spans="1:22" x14ac:dyDescent="0.2">
      <c r="A171" s="264"/>
      <c r="B171" s="1738">
        <v>51</v>
      </c>
      <c r="C171" s="1739">
        <f t="shared" ca="1" si="17"/>
        <v>45976</v>
      </c>
      <c r="D171" s="1732" t="str">
        <f t="shared" ca="1" si="10"/>
        <v/>
      </c>
      <c r="E171" s="1740" t="str">
        <f t="shared" ca="1" si="11"/>
        <v/>
      </c>
      <c r="F171" s="1740" t="str">
        <f t="shared" ca="1" si="12"/>
        <v/>
      </c>
      <c r="G171" s="1750"/>
      <c r="H171" s="1734" t="str">
        <f t="shared" si="7"/>
        <v/>
      </c>
      <c r="I171" s="1735" t="str">
        <f t="shared" ca="1" si="14"/>
        <v/>
      </c>
      <c r="J171" s="1734" t="str">
        <f t="shared" ca="1" si="3"/>
        <v/>
      </c>
      <c r="K171" s="1732" t="str">
        <f t="shared" ca="1" si="15"/>
        <v/>
      </c>
      <c r="L171" s="1740" t="str">
        <f t="shared" ca="1" si="16"/>
        <v/>
      </c>
      <c r="M171" s="1740" t="str">
        <f t="shared" ca="1" si="19"/>
        <v/>
      </c>
      <c r="N171" s="1734" t="str">
        <f t="shared" ca="1" si="18"/>
        <v/>
      </c>
      <c r="O171" s="264"/>
      <c r="P171" s="264"/>
      <c r="Q171" s="1690">
        <f t="shared" ca="1" si="20"/>
        <v>0</v>
      </c>
      <c r="R171" s="264"/>
      <c r="S171" s="264"/>
      <c r="T171" s="264"/>
      <c r="U171" s="264"/>
      <c r="V171" s="264"/>
    </row>
    <row r="172" spans="1:22" x14ac:dyDescent="0.2">
      <c r="A172" s="264"/>
      <c r="B172" s="1738">
        <v>52</v>
      </c>
      <c r="C172" s="1739">
        <f t="shared" ca="1" si="17"/>
        <v>46006</v>
      </c>
      <c r="D172" s="1732" t="str">
        <f t="shared" ca="1" si="10"/>
        <v/>
      </c>
      <c r="E172" s="1740" t="str">
        <f t="shared" ca="1" si="11"/>
        <v/>
      </c>
      <c r="F172" s="1740" t="str">
        <f t="shared" ca="1" si="12"/>
        <v/>
      </c>
      <c r="G172" s="1750"/>
      <c r="H172" s="1734" t="str">
        <f t="shared" si="7"/>
        <v/>
      </c>
      <c r="I172" s="1735" t="str">
        <f t="shared" ca="1" si="14"/>
        <v/>
      </c>
      <c r="J172" s="1734" t="str">
        <f t="shared" ca="1" si="3"/>
        <v/>
      </c>
      <c r="K172" s="1732" t="str">
        <f t="shared" ca="1" si="15"/>
        <v/>
      </c>
      <c r="L172" s="1740" t="str">
        <f t="shared" ca="1" si="16"/>
        <v/>
      </c>
      <c r="M172" s="1740" t="str">
        <f t="shared" ca="1" si="19"/>
        <v/>
      </c>
      <c r="N172" s="1734" t="str">
        <f t="shared" ca="1" si="18"/>
        <v/>
      </c>
      <c r="O172" s="264"/>
      <c r="P172" s="264"/>
      <c r="Q172" s="1690">
        <f t="shared" ca="1" si="20"/>
        <v>0</v>
      </c>
      <c r="R172" s="264"/>
      <c r="S172" s="264"/>
      <c r="T172" s="264"/>
      <c r="U172" s="264"/>
      <c r="V172" s="264"/>
    </row>
    <row r="173" spans="1:22" x14ac:dyDescent="0.2">
      <c r="A173" s="264"/>
      <c r="B173" s="1738">
        <v>53</v>
      </c>
      <c r="C173" s="1739">
        <f t="shared" ca="1" si="17"/>
        <v>46037</v>
      </c>
      <c r="D173" s="1732" t="str">
        <f t="shared" ca="1" si="10"/>
        <v/>
      </c>
      <c r="E173" s="1740" t="str">
        <f t="shared" ca="1" si="11"/>
        <v/>
      </c>
      <c r="F173" s="1740" t="str">
        <f t="shared" ca="1" si="12"/>
        <v/>
      </c>
      <c r="G173" s="1750"/>
      <c r="H173" s="1734" t="str">
        <f t="shared" si="7"/>
        <v/>
      </c>
      <c r="I173" s="1735" t="str">
        <f t="shared" ca="1" si="14"/>
        <v/>
      </c>
      <c r="J173" s="1734" t="str">
        <f t="shared" ca="1" si="3"/>
        <v/>
      </c>
      <c r="K173" s="1732" t="str">
        <f t="shared" ca="1" si="15"/>
        <v/>
      </c>
      <c r="L173" s="1740" t="str">
        <f t="shared" ca="1" si="16"/>
        <v/>
      </c>
      <c r="M173" s="1740" t="str">
        <f t="shared" ca="1" si="19"/>
        <v/>
      </c>
      <c r="N173" s="1734" t="str">
        <f t="shared" ca="1" si="18"/>
        <v/>
      </c>
      <c r="O173" s="264"/>
      <c r="P173" s="264"/>
      <c r="Q173" s="1690">
        <f t="shared" ca="1" si="20"/>
        <v>0</v>
      </c>
      <c r="R173" s="264"/>
      <c r="S173" s="264"/>
      <c r="T173" s="264"/>
      <c r="U173" s="264"/>
      <c r="V173" s="264"/>
    </row>
    <row r="174" spans="1:22" x14ac:dyDescent="0.2">
      <c r="A174" s="264"/>
      <c r="B174" s="1738">
        <v>54</v>
      </c>
      <c r="C174" s="1739">
        <f t="shared" ca="1" si="17"/>
        <v>46068</v>
      </c>
      <c r="D174" s="1732" t="str">
        <f t="shared" ca="1" si="10"/>
        <v/>
      </c>
      <c r="E174" s="1740" t="str">
        <f t="shared" ca="1" si="11"/>
        <v/>
      </c>
      <c r="F174" s="1740" t="str">
        <f t="shared" ca="1" si="12"/>
        <v/>
      </c>
      <c r="G174" s="1750"/>
      <c r="H174" s="1734" t="str">
        <f t="shared" si="7"/>
        <v/>
      </c>
      <c r="I174" s="1735" t="str">
        <f t="shared" ca="1" si="14"/>
        <v/>
      </c>
      <c r="J174" s="1734" t="str">
        <f t="shared" ca="1" si="3"/>
        <v/>
      </c>
      <c r="K174" s="1732" t="str">
        <f t="shared" ca="1" si="15"/>
        <v/>
      </c>
      <c r="L174" s="1740" t="str">
        <f t="shared" ca="1" si="16"/>
        <v/>
      </c>
      <c r="M174" s="1740" t="str">
        <f t="shared" ca="1" si="19"/>
        <v/>
      </c>
      <c r="N174" s="1734" t="str">
        <f t="shared" ca="1" si="18"/>
        <v/>
      </c>
      <c r="O174" s="264"/>
      <c r="P174" s="264"/>
      <c r="Q174" s="1690">
        <f t="shared" ca="1" si="20"/>
        <v>0</v>
      </c>
      <c r="R174" s="264"/>
      <c r="S174" s="264"/>
      <c r="T174" s="264"/>
      <c r="U174" s="264"/>
      <c r="V174" s="264"/>
    </row>
    <row r="175" spans="1:22" x14ac:dyDescent="0.2">
      <c r="A175" s="264"/>
      <c r="B175" s="1738">
        <v>55</v>
      </c>
      <c r="C175" s="1739">
        <f t="shared" ca="1" si="17"/>
        <v>46096</v>
      </c>
      <c r="D175" s="1732" t="str">
        <f t="shared" ca="1" si="10"/>
        <v/>
      </c>
      <c r="E175" s="1740" t="str">
        <f t="shared" ca="1" si="11"/>
        <v/>
      </c>
      <c r="F175" s="1740" t="str">
        <f t="shared" ca="1" si="12"/>
        <v/>
      </c>
      <c r="G175" s="1750"/>
      <c r="H175" s="1734" t="str">
        <f t="shared" si="7"/>
        <v/>
      </c>
      <c r="I175" s="1735" t="str">
        <f t="shared" ca="1" si="14"/>
        <v/>
      </c>
      <c r="J175" s="1734" t="str">
        <f t="shared" ca="1" si="3"/>
        <v/>
      </c>
      <c r="K175" s="1732" t="str">
        <f t="shared" ca="1" si="15"/>
        <v/>
      </c>
      <c r="L175" s="1740" t="str">
        <f t="shared" ca="1" si="16"/>
        <v/>
      </c>
      <c r="M175" s="1740" t="str">
        <f t="shared" ca="1" si="19"/>
        <v/>
      </c>
      <c r="N175" s="1734" t="str">
        <f t="shared" ca="1" si="18"/>
        <v/>
      </c>
      <c r="O175" s="264"/>
      <c r="P175" s="264"/>
      <c r="Q175" s="1690">
        <f t="shared" ca="1" si="20"/>
        <v>0</v>
      </c>
      <c r="R175" s="264"/>
      <c r="S175" s="264"/>
      <c r="T175" s="264"/>
      <c r="U175" s="264"/>
      <c r="V175" s="264"/>
    </row>
    <row r="176" spans="1:22" x14ac:dyDescent="0.2">
      <c r="A176" s="264"/>
      <c r="B176" s="1738">
        <v>56</v>
      </c>
      <c r="C176" s="1739">
        <f t="shared" ca="1" si="17"/>
        <v>46127</v>
      </c>
      <c r="D176" s="1732" t="str">
        <f t="shared" ca="1" si="10"/>
        <v/>
      </c>
      <c r="E176" s="1740" t="str">
        <f t="shared" ca="1" si="11"/>
        <v/>
      </c>
      <c r="F176" s="1740" t="str">
        <f t="shared" ca="1" si="12"/>
        <v/>
      </c>
      <c r="G176" s="1750"/>
      <c r="H176" s="1734" t="str">
        <f t="shared" si="7"/>
        <v/>
      </c>
      <c r="I176" s="1735" t="str">
        <f t="shared" ca="1" si="14"/>
        <v/>
      </c>
      <c r="J176" s="1734" t="str">
        <f t="shared" ca="1" si="3"/>
        <v/>
      </c>
      <c r="K176" s="1732" t="str">
        <f t="shared" ca="1" si="15"/>
        <v/>
      </c>
      <c r="L176" s="1740" t="str">
        <f t="shared" ca="1" si="16"/>
        <v/>
      </c>
      <c r="M176" s="1740" t="str">
        <f t="shared" ca="1" si="19"/>
        <v/>
      </c>
      <c r="N176" s="1734" t="str">
        <f t="shared" ca="1" si="18"/>
        <v/>
      </c>
      <c r="O176" s="264"/>
      <c r="P176" s="264"/>
      <c r="Q176" s="1690">
        <f t="shared" ca="1" si="20"/>
        <v>0</v>
      </c>
      <c r="R176" s="264"/>
      <c r="S176" s="264"/>
      <c r="T176" s="264"/>
      <c r="U176" s="264"/>
      <c r="V176" s="264"/>
    </row>
    <row r="177" spans="1:22" x14ac:dyDescent="0.2">
      <c r="A177" s="264"/>
      <c r="B177" s="1738">
        <v>57</v>
      </c>
      <c r="C177" s="1739">
        <f t="shared" ca="1" si="17"/>
        <v>46157</v>
      </c>
      <c r="D177" s="1732" t="str">
        <f t="shared" ca="1" si="10"/>
        <v/>
      </c>
      <c r="E177" s="1740" t="str">
        <f t="shared" ca="1" si="11"/>
        <v/>
      </c>
      <c r="F177" s="1740" t="str">
        <f t="shared" ca="1" si="12"/>
        <v/>
      </c>
      <c r="G177" s="1750"/>
      <c r="H177" s="1734" t="str">
        <f t="shared" si="7"/>
        <v/>
      </c>
      <c r="I177" s="1735" t="str">
        <f t="shared" ca="1" si="14"/>
        <v/>
      </c>
      <c r="J177" s="1734" t="str">
        <f t="shared" ca="1" si="3"/>
        <v/>
      </c>
      <c r="K177" s="1732" t="str">
        <f t="shared" ca="1" si="15"/>
        <v/>
      </c>
      <c r="L177" s="1740" t="str">
        <f t="shared" ca="1" si="16"/>
        <v/>
      </c>
      <c r="M177" s="1740" t="str">
        <f t="shared" ca="1" si="19"/>
        <v/>
      </c>
      <c r="N177" s="1734" t="str">
        <f t="shared" ca="1" si="18"/>
        <v/>
      </c>
      <c r="O177" s="264"/>
      <c r="P177" s="264"/>
      <c r="Q177" s="1690">
        <f t="shared" ca="1" si="20"/>
        <v>0</v>
      </c>
      <c r="R177" s="264"/>
      <c r="S177" s="264"/>
      <c r="T177" s="264"/>
      <c r="U177" s="264"/>
      <c r="V177" s="264"/>
    </row>
    <row r="178" spans="1:22" x14ac:dyDescent="0.2">
      <c r="A178" s="264"/>
      <c r="B178" s="1738">
        <v>58</v>
      </c>
      <c r="C178" s="1739">
        <f t="shared" ca="1" si="17"/>
        <v>46188</v>
      </c>
      <c r="D178" s="1732" t="str">
        <f t="shared" ca="1" si="10"/>
        <v/>
      </c>
      <c r="E178" s="1740" t="str">
        <f t="shared" ca="1" si="11"/>
        <v/>
      </c>
      <c r="F178" s="1740" t="str">
        <f t="shared" ca="1" si="12"/>
        <v/>
      </c>
      <c r="G178" s="1750"/>
      <c r="H178" s="1734" t="str">
        <f t="shared" si="7"/>
        <v/>
      </c>
      <c r="I178" s="1735" t="str">
        <f t="shared" ca="1" si="14"/>
        <v/>
      </c>
      <c r="J178" s="1734" t="str">
        <f t="shared" ca="1" si="3"/>
        <v/>
      </c>
      <c r="K178" s="1732" t="str">
        <f t="shared" ca="1" si="15"/>
        <v/>
      </c>
      <c r="L178" s="1740" t="str">
        <f t="shared" ca="1" si="16"/>
        <v/>
      </c>
      <c r="M178" s="1740" t="str">
        <f t="shared" ca="1" si="19"/>
        <v/>
      </c>
      <c r="N178" s="1734" t="str">
        <f t="shared" ca="1" si="18"/>
        <v/>
      </c>
      <c r="O178" s="264"/>
      <c r="P178" s="264"/>
      <c r="Q178" s="1690">
        <f t="shared" ca="1" si="20"/>
        <v>0</v>
      </c>
      <c r="R178" s="264"/>
      <c r="S178" s="264"/>
      <c r="T178" s="264"/>
      <c r="U178" s="264"/>
      <c r="V178" s="264"/>
    </row>
    <row r="179" spans="1:22" x14ac:dyDescent="0.2">
      <c r="A179" s="264"/>
      <c r="B179" s="1738">
        <v>59</v>
      </c>
      <c r="C179" s="1739">
        <f t="shared" ca="1" si="17"/>
        <v>46218</v>
      </c>
      <c r="D179" s="1732" t="str">
        <f t="shared" ca="1" si="10"/>
        <v/>
      </c>
      <c r="E179" s="1740" t="str">
        <f t="shared" ca="1" si="11"/>
        <v/>
      </c>
      <c r="F179" s="1740" t="str">
        <f t="shared" ca="1" si="12"/>
        <v/>
      </c>
      <c r="G179" s="1750"/>
      <c r="H179" s="1734" t="str">
        <f t="shared" si="7"/>
        <v/>
      </c>
      <c r="I179" s="1735" t="str">
        <f t="shared" ca="1" si="14"/>
        <v/>
      </c>
      <c r="J179" s="1734" t="str">
        <f t="shared" ca="1" si="3"/>
        <v/>
      </c>
      <c r="K179" s="1732" t="str">
        <f t="shared" ca="1" si="15"/>
        <v/>
      </c>
      <c r="L179" s="1740" t="str">
        <f t="shared" ca="1" si="16"/>
        <v/>
      </c>
      <c r="M179" s="1740" t="str">
        <f t="shared" ca="1" si="19"/>
        <v/>
      </c>
      <c r="N179" s="1734" t="str">
        <f t="shared" ca="1" si="18"/>
        <v/>
      </c>
      <c r="O179" s="264"/>
      <c r="P179" s="264"/>
      <c r="Q179" s="1690">
        <f t="shared" ca="1" si="20"/>
        <v>0</v>
      </c>
      <c r="R179" s="264"/>
      <c r="S179" s="264"/>
      <c r="T179" s="264"/>
      <c r="U179" s="264"/>
      <c r="V179" s="264"/>
    </row>
    <row r="180" spans="1:22" x14ac:dyDescent="0.2">
      <c r="A180" s="264"/>
      <c r="B180" s="1741">
        <v>60</v>
      </c>
      <c r="C180" s="1742">
        <f t="shared" ca="1" si="17"/>
        <v>46249</v>
      </c>
      <c r="D180" s="1743" t="str">
        <f t="shared" ca="1" si="10"/>
        <v/>
      </c>
      <c r="E180" s="1744" t="str">
        <f t="shared" ca="1" si="11"/>
        <v/>
      </c>
      <c r="F180" s="1744" t="str">
        <f t="shared" ca="1" si="12"/>
        <v/>
      </c>
      <c r="G180" s="1751"/>
      <c r="H180" s="1745" t="str">
        <f t="shared" si="7"/>
        <v/>
      </c>
      <c r="I180" s="1743" t="str">
        <f t="shared" ca="1" si="14"/>
        <v/>
      </c>
      <c r="J180" s="1745" t="str">
        <f t="shared" ca="1" si="3"/>
        <v/>
      </c>
      <c r="K180" s="1743" t="str">
        <f t="shared" ca="1" si="15"/>
        <v/>
      </c>
      <c r="L180" s="1744" t="str">
        <f t="shared" ca="1" si="16"/>
        <v/>
      </c>
      <c r="M180" s="1744" t="str">
        <f t="shared" ca="1" si="19"/>
        <v/>
      </c>
      <c r="N180" s="1745" t="str">
        <f t="shared" ca="1" si="18"/>
        <v/>
      </c>
      <c r="O180" s="264"/>
      <c r="P180" s="264"/>
      <c r="Q180" s="1690">
        <f t="shared" ca="1" si="20"/>
        <v>0</v>
      </c>
      <c r="R180" s="264"/>
      <c r="S180" s="264"/>
      <c r="T180" s="264"/>
      <c r="U180" s="264"/>
      <c r="V180" s="264"/>
    </row>
    <row r="181" spans="1:22" x14ac:dyDescent="0.2">
      <c r="A181" s="264"/>
      <c r="B181" s="1746">
        <v>61</v>
      </c>
      <c r="C181" s="1747" t="str">
        <f t="shared" ca="1" si="17"/>
        <v/>
      </c>
      <c r="D181" s="1735" t="str">
        <f t="shared" ref="D181:D186" ca="1" si="21">IFERROR(IF(H$94&gt;=B181,
        E181,
        IF(C181="",
                "",
                IF(C182="",
                        E181+H180,
                        ROUND((H180*H$89/12)/(1-(1+H$89/12)^-(COUNTIF(C$121:C$480,"&gt;0")-B181+1)),
                               0)))),"")</f>
        <v/>
      </c>
      <c r="E181" s="1748" t="str">
        <f t="shared" ref="E181:E185" ca="1" si="22">IFERROR(
        ROUND(H180*(H$89*(DATEVALUE("01."&amp;MONTH(C181)&amp;"."&amp;YEAR(C181))-C180-1)/(DATEVALUE("01.01."&amp;YEAR(C180)+1)-DATEVALUE("01.01."&amp;YEAR(C180)))+
                    H$89*(C181-DATEVALUE("01."&amp;MONTH(C181)&amp;"."&amp;YEAR(C181))+1)/(DATEVALUE("01.01."&amp;YEAR(C181)+1)-DATEVALUE("01.01."&amp;YEAR(C181)))),
               2),
        "")</f>
        <v/>
      </c>
      <c r="F181" s="1748" t="str">
        <f t="shared" ca="1" si="12"/>
        <v/>
      </c>
      <c r="G181" s="1748"/>
      <c r="H181" s="1749" t="str">
        <f t="shared" ref="H181:H186" si="23">IF(OR(H180=0,H180=""),
        "",
        H180-F181-G181)</f>
        <v/>
      </c>
      <c r="I181" s="1735" t="str">
        <f t="shared" ca="1" si="14"/>
        <v/>
      </c>
      <c r="J181" s="1749" t="str">
        <f t="shared" ca="1" si="3"/>
        <v/>
      </c>
      <c r="K181" s="1735" t="str">
        <f t="shared" ca="1" si="15"/>
        <v/>
      </c>
      <c r="L181" s="1748" t="str">
        <f t="shared" ca="1" si="16"/>
        <v/>
      </c>
      <c r="M181" s="1748" t="str">
        <f t="shared" ca="1" si="19"/>
        <v/>
      </c>
      <c r="N181" s="1749" t="str">
        <f t="shared" ca="1" si="18"/>
        <v/>
      </c>
      <c r="O181" s="264"/>
      <c r="P181" s="264"/>
      <c r="Q181" s="1690">
        <f t="shared" ref="Q181:Q185" ca="1" si="24">IFERROR(IF(K181&gt;0,H$6,""),"")</f>
        <v>0</v>
      </c>
      <c r="R181" s="264"/>
      <c r="S181" s="264"/>
      <c r="T181" s="264"/>
      <c r="U181" s="264"/>
      <c r="V181" s="264"/>
    </row>
    <row r="182" spans="1:22" x14ac:dyDescent="0.2">
      <c r="A182" s="264"/>
      <c r="B182" s="1738">
        <v>62</v>
      </c>
      <c r="C182" s="1739" t="str">
        <f t="shared" ca="1" si="17"/>
        <v/>
      </c>
      <c r="D182" s="1732" t="str">
        <f t="shared" ca="1" si="21"/>
        <v/>
      </c>
      <c r="E182" s="1740" t="str">
        <f t="shared" ca="1" si="22"/>
        <v/>
      </c>
      <c r="F182" s="1740" t="str">
        <f t="shared" ca="1" si="12"/>
        <v/>
      </c>
      <c r="G182" s="1740"/>
      <c r="H182" s="1734" t="str">
        <f t="shared" si="23"/>
        <v/>
      </c>
      <c r="I182" s="1735" t="str">
        <f t="shared" ca="1" si="14"/>
        <v/>
      </c>
      <c r="J182" s="1734" t="str">
        <f t="shared" ca="1" si="3"/>
        <v/>
      </c>
      <c r="K182" s="1732" t="str">
        <f t="shared" ca="1" si="15"/>
        <v/>
      </c>
      <c r="L182" s="1748" t="str">
        <f t="shared" ca="1" si="16"/>
        <v/>
      </c>
      <c r="M182" s="1740" t="str">
        <f t="shared" ca="1" si="19"/>
        <v/>
      </c>
      <c r="N182" s="1734" t="str">
        <f t="shared" ca="1" si="18"/>
        <v/>
      </c>
      <c r="O182" s="264"/>
      <c r="P182" s="264"/>
      <c r="Q182" s="1690">
        <f t="shared" ca="1" si="24"/>
        <v>0</v>
      </c>
      <c r="R182" s="264"/>
      <c r="S182" s="264"/>
      <c r="T182" s="264"/>
      <c r="U182" s="264"/>
      <c r="V182" s="264"/>
    </row>
    <row r="183" spans="1:22" x14ac:dyDescent="0.2">
      <c r="A183" s="264"/>
      <c r="B183" s="1738">
        <v>63</v>
      </c>
      <c r="C183" s="1739" t="str">
        <f t="shared" ca="1" si="17"/>
        <v/>
      </c>
      <c r="D183" s="1732" t="str">
        <f t="shared" ca="1" si="21"/>
        <v/>
      </c>
      <c r="E183" s="1740" t="str">
        <f t="shared" ca="1" si="22"/>
        <v/>
      </c>
      <c r="F183" s="1740" t="str">
        <f t="shared" ca="1" si="12"/>
        <v/>
      </c>
      <c r="G183" s="1740"/>
      <c r="H183" s="1734" t="str">
        <f t="shared" si="23"/>
        <v/>
      </c>
      <c r="I183" s="1735" t="str">
        <f t="shared" ca="1" si="14"/>
        <v/>
      </c>
      <c r="J183" s="1734" t="str">
        <f t="shared" ca="1" si="3"/>
        <v/>
      </c>
      <c r="K183" s="1732" t="str">
        <f t="shared" ca="1" si="15"/>
        <v/>
      </c>
      <c r="L183" s="1748" t="str">
        <f t="shared" ca="1" si="16"/>
        <v/>
      </c>
      <c r="M183" s="1740" t="str">
        <f t="shared" ca="1" si="19"/>
        <v/>
      </c>
      <c r="N183" s="1734" t="str">
        <f t="shared" ca="1" si="18"/>
        <v/>
      </c>
      <c r="O183" s="264"/>
      <c r="P183" s="264"/>
      <c r="Q183" s="1690">
        <f t="shared" ca="1" si="24"/>
        <v>0</v>
      </c>
      <c r="R183" s="264"/>
      <c r="S183" s="264"/>
      <c r="T183" s="264"/>
      <c r="U183" s="264"/>
      <c r="V183" s="264"/>
    </row>
    <row r="184" spans="1:22" x14ac:dyDescent="0.2">
      <c r="A184" s="264"/>
      <c r="B184" s="1738">
        <v>64</v>
      </c>
      <c r="C184" s="1739" t="str">
        <f t="shared" ca="1" si="17"/>
        <v/>
      </c>
      <c r="D184" s="1732" t="str">
        <f t="shared" ca="1" si="21"/>
        <v/>
      </c>
      <c r="E184" s="1740" t="str">
        <f t="shared" ca="1" si="22"/>
        <v/>
      </c>
      <c r="F184" s="1740" t="str">
        <f t="shared" ca="1" si="12"/>
        <v/>
      </c>
      <c r="G184" s="1740"/>
      <c r="H184" s="1734" t="str">
        <f t="shared" si="23"/>
        <v/>
      </c>
      <c r="I184" s="1735" t="str">
        <f t="shared" ca="1" si="14"/>
        <v/>
      </c>
      <c r="J184" s="1734" t="str">
        <f t="shared" ca="1" si="3"/>
        <v/>
      </c>
      <c r="K184" s="1732" t="str">
        <f t="shared" ca="1" si="15"/>
        <v/>
      </c>
      <c r="L184" s="1748" t="str">
        <f t="shared" ca="1" si="16"/>
        <v/>
      </c>
      <c r="M184" s="1740" t="str">
        <f t="shared" ca="1" si="19"/>
        <v/>
      </c>
      <c r="N184" s="1734" t="str">
        <f t="shared" ca="1" si="18"/>
        <v/>
      </c>
      <c r="O184" s="264"/>
      <c r="P184" s="264"/>
      <c r="Q184" s="1690">
        <f t="shared" ca="1" si="24"/>
        <v>0</v>
      </c>
      <c r="R184" s="264"/>
      <c r="S184" s="264"/>
      <c r="T184" s="264"/>
      <c r="U184" s="264"/>
      <c r="V184" s="264"/>
    </row>
    <row r="185" spans="1:22" x14ac:dyDescent="0.2">
      <c r="A185" s="264"/>
      <c r="B185" s="1738">
        <v>65</v>
      </c>
      <c r="C185" s="1739" t="str">
        <f t="shared" ca="1" si="17"/>
        <v/>
      </c>
      <c r="D185" s="1732" t="str">
        <f t="shared" ca="1" si="21"/>
        <v/>
      </c>
      <c r="E185" s="1740" t="str">
        <f t="shared" ca="1" si="22"/>
        <v/>
      </c>
      <c r="F185" s="1740" t="str">
        <f t="shared" ref="F185:F220" ca="1" si="25">IFERROR(D185-E185,"")</f>
        <v/>
      </c>
      <c r="G185" s="1740"/>
      <c r="H185" s="1734" t="str">
        <f t="shared" si="23"/>
        <v/>
      </c>
      <c r="I185" s="1735" t="str">
        <f t="shared" ref="I185:I216" ca="1" si="26">IFERROR(
        IF(C185="",
                "",
                IF(C185&gt;INDEX(C$121:C$220,60),
                        0,
                        ROUND(E185*MIN(1,H$90/H$89),2))),
        "")</f>
        <v/>
      </c>
      <c r="J185" s="1734" t="str">
        <f t="shared" ref="J185:J220" ca="1" si="27">IFERROR(E185-I185,"")</f>
        <v/>
      </c>
      <c r="K185" s="1732" t="str">
        <f t="shared" ref="K185:K220" ca="1" si="28">IFERROR(ROUNDUP(D185/(H$5*H$97*H$98),2),"")</f>
        <v/>
      </c>
      <c r="L185" s="1748" t="str">
        <f t="shared" ref="L185:L216" ca="1" si="29">IFERROR(
        MAX(0,ROUNDUP((D185-IF(B185=1,
                        0,
                        IFERROR(INDEX(I$121:I$220,(B185-H$95)^2/(B185-H$95)),0)))/
                       (H$5*H$97*H$98),
                2)),
        K185)</f>
        <v/>
      </c>
      <c r="M185" s="1740" t="str">
        <f t="shared" ca="1" si="19"/>
        <v/>
      </c>
      <c r="N185" s="1734" t="str">
        <f t="shared" ca="1" si="18"/>
        <v/>
      </c>
      <c r="O185" s="264"/>
      <c r="P185" s="264"/>
      <c r="Q185" s="1690">
        <f t="shared" ca="1" si="24"/>
        <v>0</v>
      </c>
      <c r="R185" s="264"/>
      <c r="S185" s="264"/>
      <c r="T185" s="264"/>
      <c r="U185" s="264"/>
      <c r="V185" s="264"/>
    </row>
    <row r="186" spans="1:22" x14ac:dyDescent="0.2">
      <c r="A186" s="264"/>
      <c r="B186" s="1738">
        <v>66</v>
      </c>
      <c r="C186" s="1739" t="str">
        <f t="shared" ref="C186:C220" ca="1" si="30">IFERROR(
        IF(EDATE(C185,1)&gt;EDATE(H$91,H$93),
                "",
                EDATE(C185,1)),
        "")</f>
        <v/>
      </c>
      <c r="D186" s="1732" t="str">
        <f t="shared" ca="1" si="21"/>
        <v/>
      </c>
      <c r="E186" s="1740" t="str">
        <f t="shared" ref="E186:E220" ca="1" si="31">IFERROR(
        ROUND(H185*(H$89*(DATEVALUE("01."&amp;MONTH(C186)&amp;"."&amp;YEAR(C186))-C185-1)/(DATEVALUE("01.01."&amp;YEAR(C185)+1)-DATEVALUE("01.01."&amp;YEAR(C185)))+
                    H$89*(C186-DATEVALUE("01."&amp;MONTH(C186)&amp;"."&amp;YEAR(C186))+1)/(DATEVALUE("01.01."&amp;YEAR(C186)+1)-DATEVALUE("01.01."&amp;YEAR(C186)))),
               2),
        "")</f>
        <v/>
      </c>
      <c r="F186" s="1740" t="str">
        <f t="shared" ca="1" si="25"/>
        <v/>
      </c>
      <c r="G186" s="1740"/>
      <c r="H186" s="1734" t="str">
        <f t="shared" si="23"/>
        <v/>
      </c>
      <c r="I186" s="1735" t="str">
        <f t="shared" ca="1" si="26"/>
        <v/>
      </c>
      <c r="J186" s="1734" t="str">
        <f t="shared" ca="1" si="27"/>
        <v/>
      </c>
      <c r="K186" s="1732" t="str">
        <f t="shared" ca="1" si="28"/>
        <v/>
      </c>
      <c r="L186" s="1748" t="str">
        <f t="shared" ca="1" si="29"/>
        <v/>
      </c>
      <c r="M186" s="1740" t="str">
        <f t="shared" ca="1" si="19"/>
        <v/>
      </c>
      <c r="N186" s="1734" t="str">
        <f t="shared" ref="N186:N217" ca="1" si="32">IFERROR(ROUND(M186*H$5*H$97*H$98-D186+IFERROR(INDEX(I$121:I$220,(B186-H$95)^2/(B186-H$95)),0)+N185,2),"")</f>
        <v/>
      </c>
      <c r="O186" s="264"/>
      <c r="P186" s="264"/>
      <c r="Q186" s="1690">
        <f t="shared" ref="Q186:Q220" ca="1" si="33">IFERROR(IF(K186&gt;0,H$6,""),"")</f>
        <v>0</v>
      </c>
      <c r="R186" s="264"/>
      <c r="S186" s="264"/>
      <c r="T186" s="264"/>
      <c r="U186" s="264"/>
      <c r="V186" s="264"/>
    </row>
    <row r="187" spans="1:22" x14ac:dyDescent="0.2">
      <c r="A187" s="264"/>
      <c r="B187" s="1738">
        <v>67</v>
      </c>
      <c r="C187" s="1739" t="str">
        <f t="shared" ca="1" si="30"/>
        <v/>
      </c>
      <c r="D187" s="1732" t="str">
        <f t="shared" ref="D187:D220" ca="1" si="34">IFERROR(IF(H$94&gt;=B187,
        E187,
        IF(C187="",
                "",
                IF(C188="",
                        E187+H186,
                        ROUND((H186*H$89/12)/(1-(1+H$89/12)^-(COUNTIF(C$121:C$480,"&gt;0")-B187+1)),
                               0)))),"")</f>
        <v/>
      </c>
      <c r="E187" s="1740" t="str">
        <f t="shared" ca="1" si="31"/>
        <v/>
      </c>
      <c r="F187" s="1740" t="str">
        <f t="shared" ca="1" si="25"/>
        <v/>
      </c>
      <c r="G187" s="1740"/>
      <c r="H187" s="1734" t="str">
        <f t="shared" ref="H187:H220" si="35">IF(OR(H186=0,H186=""),
        "",
        H186-F187-G187)</f>
        <v/>
      </c>
      <c r="I187" s="1735" t="str">
        <f t="shared" ca="1" si="26"/>
        <v/>
      </c>
      <c r="J187" s="1734" t="str">
        <f t="shared" ca="1" si="27"/>
        <v/>
      </c>
      <c r="K187" s="1732" t="str">
        <f t="shared" ca="1" si="28"/>
        <v/>
      </c>
      <c r="L187" s="1748" t="str">
        <f t="shared" ca="1" si="29"/>
        <v/>
      </c>
      <c r="M187" s="1740" t="str">
        <f t="shared" ref="M187:M218" ca="1"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4" t="str">
        <f t="shared" ca="1" si="32"/>
        <v/>
      </c>
      <c r="O187" s="264"/>
      <c r="P187" s="264"/>
      <c r="Q187" s="1690">
        <f t="shared" ca="1" si="33"/>
        <v>0</v>
      </c>
      <c r="R187" s="264"/>
      <c r="S187" s="264"/>
      <c r="T187" s="264"/>
      <c r="U187" s="264"/>
      <c r="V187" s="264"/>
    </row>
    <row r="188" spans="1:22" x14ac:dyDescent="0.2">
      <c r="A188" s="264"/>
      <c r="B188" s="1738">
        <v>68</v>
      </c>
      <c r="C188" s="1739" t="str">
        <f t="shared" ca="1" si="30"/>
        <v/>
      </c>
      <c r="D188" s="1732" t="str">
        <f t="shared" ca="1" si="34"/>
        <v/>
      </c>
      <c r="E188" s="1740" t="str">
        <f t="shared" ca="1" si="31"/>
        <v/>
      </c>
      <c r="F188" s="1740" t="str">
        <f t="shared" ca="1" si="25"/>
        <v/>
      </c>
      <c r="G188" s="1740"/>
      <c r="H188" s="1734" t="str">
        <f t="shared" si="35"/>
        <v/>
      </c>
      <c r="I188" s="1735" t="str">
        <f t="shared" ca="1" si="26"/>
        <v/>
      </c>
      <c r="J188" s="1734" t="str">
        <f t="shared" ca="1" si="27"/>
        <v/>
      </c>
      <c r="K188" s="1732" t="str">
        <f t="shared" ca="1" si="28"/>
        <v/>
      </c>
      <c r="L188" s="1748" t="str">
        <f t="shared" ca="1" si="29"/>
        <v/>
      </c>
      <c r="M188" s="1740" t="str">
        <f t="shared" ca="1" si="36"/>
        <v/>
      </c>
      <c r="N188" s="1734" t="str">
        <f t="shared" ca="1" si="32"/>
        <v/>
      </c>
      <c r="O188" s="264"/>
      <c r="P188" s="264"/>
      <c r="Q188" s="1690">
        <f t="shared" ca="1" si="33"/>
        <v>0</v>
      </c>
      <c r="R188" s="264"/>
      <c r="S188" s="264"/>
      <c r="T188" s="264"/>
      <c r="U188" s="264"/>
      <c r="V188" s="264"/>
    </row>
    <row r="189" spans="1:22" x14ac:dyDescent="0.2">
      <c r="A189" s="264"/>
      <c r="B189" s="1738">
        <v>69</v>
      </c>
      <c r="C189" s="1739" t="str">
        <f t="shared" ca="1" si="30"/>
        <v/>
      </c>
      <c r="D189" s="1732" t="str">
        <f t="shared" ca="1" si="34"/>
        <v/>
      </c>
      <c r="E189" s="1740" t="str">
        <f t="shared" ca="1" si="31"/>
        <v/>
      </c>
      <c r="F189" s="1740" t="str">
        <f t="shared" ca="1" si="25"/>
        <v/>
      </c>
      <c r="G189" s="1740"/>
      <c r="H189" s="1734" t="str">
        <f t="shared" si="35"/>
        <v/>
      </c>
      <c r="I189" s="1735" t="str">
        <f t="shared" ca="1" si="26"/>
        <v/>
      </c>
      <c r="J189" s="1734" t="str">
        <f t="shared" ca="1" si="27"/>
        <v/>
      </c>
      <c r="K189" s="1732" t="str">
        <f t="shared" ca="1" si="28"/>
        <v/>
      </c>
      <c r="L189" s="1748" t="str">
        <f t="shared" ca="1" si="29"/>
        <v/>
      </c>
      <c r="M189" s="1740" t="str">
        <f t="shared" ca="1" si="36"/>
        <v/>
      </c>
      <c r="N189" s="1734" t="str">
        <f t="shared" ca="1" si="32"/>
        <v/>
      </c>
      <c r="O189" s="264"/>
      <c r="P189" s="264"/>
      <c r="Q189" s="1690">
        <f t="shared" ca="1" si="33"/>
        <v>0</v>
      </c>
      <c r="R189" s="264"/>
      <c r="S189" s="264"/>
      <c r="T189" s="264"/>
      <c r="U189" s="264"/>
      <c r="V189" s="264"/>
    </row>
    <row r="190" spans="1:22" x14ac:dyDescent="0.2">
      <c r="A190" s="264"/>
      <c r="B190" s="1738">
        <v>70</v>
      </c>
      <c r="C190" s="1739" t="str">
        <f t="shared" ca="1" si="30"/>
        <v/>
      </c>
      <c r="D190" s="1732" t="str">
        <f t="shared" ca="1" si="34"/>
        <v/>
      </c>
      <c r="E190" s="1740" t="str">
        <f t="shared" ca="1" si="31"/>
        <v/>
      </c>
      <c r="F190" s="1740" t="str">
        <f t="shared" ca="1" si="25"/>
        <v/>
      </c>
      <c r="G190" s="1740"/>
      <c r="H190" s="1734" t="str">
        <f t="shared" si="35"/>
        <v/>
      </c>
      <c r="I190" s="1735" t="str">
        <f t="shared" ca="1" si="26"/>
        <v/>
      </c>
      <c r="J190" s="1734" t="str">
        <f t="shared" ca="1" si="27"/>
        <v/>
      </c>
      <c r="K190" s="1732" t="str">
        <f t="shared" ca="1" si="28"/>
        <v/>
      </c>
      <c r="L190" s="1748" t="str">
        <f t="shared" ca="1" si="29"/>
        <v/>
      </c>
      <c r="M190" s="1740" t="str">
        <f t="shared" ca="1" si="36"/>
        <v/>
      </c>
      <c r="N190" s="1734" t="str">
        <f t="shared" ca="1" si="32"/>
        <v/>
      </c>
      <c r="O190" s="264"/>
      <c r="P190" s="264"/>
      <c r="Q190" s="1690">
        <f t="shared" ca="1" si="33"/>
        <v>0</v>
      </c>
      <c r="R190" s="264"/>
      <c r="S190" s="264"/>
      <c r="T190" s="264"/>
      <c r="U190" s="264"/>
      <c r="V190" s="264"/>
    </row>
    <row r="191" spans="1:22" x14ac:dyDescent="0.2">
      <c r="A191" s="264"/>
      <c r="B191" s="1738">
        <v>71</v>
      </c>
      <c r="C191" s="1739" t="str">
        <f t="shared" ca="1" si="30"/>
        <v/>
      </c>
      <c r="D191" s="1732" t="str">
        <f t="shared" ca="1" si="34"/>
        <v/>
      </c>
      <c r="E191" s="1740" t="str">
        <f t="shared" ca="1" si="31"/>
        <v/>
      </c>
      <c r="F191" s="1740" t="str">
        <f t="shared" ca="1" si="25"/>
        <v/>
      </c>
      <c r="G191" s="1740"/>
      <c r="H191" s="1734" t="str">
        <f t="shared" si="35"/>
        <v/>
      </c>
      <c r="I191" s="1735" t="str">
        <f t="shared" ca="1" si="26"/>
        <v/>
      </c>
      <c r="J191" s="1734" t="str">
        <f t="shared" ca="1" si="27"/>
        <v/>
      </c>
      <c r="K191" s="1732" t="str">
        <f t="shared" ca="1" si="28"/>
        <v/>
      </c>
      <c r="L191" s="1748" t="str">
        <f t="shared" ca="1" si="29"/>
        <v/>
      </c>
      <c r="M191" s="1740" t="str">
        <f t="shared" ca="1" si="36"/>
        <v/>
      </c>
      <c r="N191" s="1734" t="str">
        <f t="shared" ca="1" si="32"/>
        <v/>
      </c>
      <c r="O191" s="264"/>
      <c r="P191" s="264"/>
      <c r="Q191" s="1690">
        <f t="shared" ca="1" si="33"/>
        <v>0</v>
      </c>
      <c r="R191" s="264"/>
      <c r="S191" s="264"/>
      <c r="T191" s="264"/>
      <c r="U191" s="264"/>
      <c r="V191" s="264"/>
    </row>
    <row r="192" spans="1:22" x14ac:dyDescent="0.2">
      <c r="A192" s="264"/>
      <c r="B192" s="1738">
        <v>72</v>
      </c>
      <c r="C192" s="1739" t="str">
        <f t="shared" ca="1" si="30"/>
        <v/>
      </c>
      <c r="D192" s="1732" t="str">
        <f t="shared" ca="1" si="34"/>
        <v/>
      </c>
      <c r="E192" s="1740" t="str">
        <f t="shared" ca="1" si="31"/>
        <v/>
      </c>
      <c r="F192" s="1740" t="str">
        <f t="shared" ca="1" si="25"/>
        <v/>
      </c>
      <c r="G192" s="1740"/>
      <c r="H192" s="1734" t="str">
        <f t="shared" si="35"/>
        <v/>
      </c>
      <c r="I192" s="1735" t="str">
        <f t="shared" ca="1" si="26"/>
        <v/>
      </c>
      <c r="J192" s="1734" t="str">
        <f t="shared" ca="1" si="27"/>
        <v/>
      </c>
      <c r="K192" s="1732" t="str">
        <f t="shared" ca="1" si="28"/>
        <v/>
      </c>
      <c r="L192" s="1748" t="str">
        <f t="shared" ca="1" si="29"/>
        <v/>
      </c>
      <c r="M192" s="1740" t="str">
        <f t="shared" ca="1" si="36"/>
        <v/>
      </c>
      <c r="N192" s="1734" t="str">
        <f t="shared" ca="1" si="32"/>
        <v/>
      </c>
      <c r="O192" s="264"/>
      <c r="P192" s="264"/>
      <c r="Q192" s="1690">
        <f t="shared" ca="1" si="33"/>
        <v>0</v>
      </c>
      <c r="R192" s="264"/>
      <c r="S192" s="264"/>
      <c r="T192" s="264"/>
      <c r="U192" s="264"/>
      <c r="V192" s="264"/>
    </row>
    <row r="193" spans="1:22" x14ac:dyDescent="0.2">
      <c r="A193" s="264"/>
      <c r="B193" s="1738">
        <v>73</v>
      </c>
      <c r="C193" s="1739" t="str">
        <f t="shared" ca="1" si="30"/>
        <v/>
      </c>
      <c r="D193" s="1732" t="str">
        <f t="shared" ca="1" si="34"/>
        <v/>
      </c>
      <c r="E193" s="1740" t="str">
        <f t="shared" ca="1" si="31"/>
        <v/>
      </c>
      <c r="F193" s="1740" t="str">
        <f t="shared" ca="1" si="25"/>
        <v/>
      </c>
      <c r="G193" s="1740"/>
      <c r="H193" s="1734" t="str">
        <f t="shared" si="35"/>
        <v/>
      </c>
      <c r="I193" s="1735" t="str">
        <f t="shared" ca="1" si="26"/>
        <v/>
      </c>
      <c r="J193" s="1734" t="str">
        <f t="shared" ca="1" si="27"/>
        <v/>
      </c>
      <c r="K193" s="1732" t="str">
        <f t="shared" ca="1" si="28"/>
        <v/>
      </c>
      <c r="L193" s="1748" t="str">
        <f t="shared" ca="1" si="29"/>
        <v/>
      </c>
      <c r="M193" s="1740" t="str">
        <f t="shared" ca="1" si="36"/>
        <v/>
      </c>
      <c r="N193" s="1734" t="str">
        <f t="shared" ca="1" si="32"/>
        <v/>
      </c>
      <c r="O193" s="264"/>
      <c r="P193" s="264"/>
      <c r="Q193" s="1690">
        <f t="shared" ca="1" si="33"/>
        <v>0</v>
      </c>
      <c r="R193" s="264"/>
      <c r="S193" s="264"/>
      <c r="T193" s="264"/>
      <c r="U193" s="264"/>
      <c r="V193" s="264"/>
    </row>
    <row r="194" spans="1:22" x14ac:dyDescent="0.2">
      <c r="A194" s="264"/>
      <c r="B194" s="1738">
        <v>74</v>
      </c>
      <c r="C194" s="1739" t="str">
        <f t="shared" ca="1" si="30"/>
        <v/>
      </c>
      <c r="D194" s="1732" t="str">
        <f t="shared" ca="1" si="34"/>
        <v/>
      </c>
      <c r="E194" s="1740" t="str">
        <f t="shared" ca="1" si="31"/>
        <v/>
      </c>
      <c r="F194" s="1740" t="str">
        <f t="shared" ca="1" si="25"/>
        <v/>
      </c>
      <c r="G194" s="1740"/>
      <c r="H194" s="1734" t="str">
        <f t="shared" si="35"/>
        <v/>
      </c>
      <c r="I194" s="1735" t="str">
        <f t="shared" ca="1" si="26"/>
        <v/>
      </c>
      <c r="J194" s="1734" t="str">
        <f t="shared" ca="1" si="27"/>
        <v/>
      </c>
      <c r="K194" s="1732" t="str">
        <f t="shared" ca="1" si="28"/>
        <v/>
      </c>
      <c r="L194" s="1748" t="str">
        <f t="shared" ca="1" si="29"/>
        <v/>
      </c>
      <c r="M194" s="1740" t="str">
        <f t="shared" ca="1" si="36"/>
        <v/>
      </c>
      <c r="N194" s="1734" t="str">
        <f t="shared" ca="1" si="32"/>
        <v/>
      </c>
      <c r="O194" s="264"/>
      <c r="P194" s="264"/>
      <c r="Q194" s="1690">
        <f t="shared" ca="1" si="33"/>
        <v>0</v>
      </c>
      <c r="R194" s="264"/>
      <c r="S194" s="264"/>
      <c r="T194" s="264"/>
      <c r="U194" s="264"/>
      <c r="V194" s="264"/>
    </row>
    <row r="195" spans="1:22" x14ac:dyDescent="0.2">
      <c r="A195" s="264"/>
      <c r="B195" s="1738">
        <v>75</v>
      </c>
      <c r="C195" s="1739" t="str">
        <f t="shared" ca="1" si="30"/>
        <v/>
      </c>
      <c r="D195" s="1732" t="str">
        <f t="shared" ca="1" si="34"/>
        <v/>
      </c>
      <c r="E195" s="1740" t="str">
        <f t="shared" ca="1" si="31"/>
        <v/>
      </c>
      <c r="F195" s="1740" t="str">
        <f t="shared" ca="1" si="25"/>
        <v/>
      </c>
      <c r="G195" s="1740"/>
      <c r="H195" s="1734" t="str">
        <f t="shared" si="35"/>
        <v/>
      </c>
      <c r="I195" s="1735" t="str">
        <f t="shared" ca="1" si="26"/>
        <v/>
      </c>
      <c r="J195" s="1734" t="str">
        <f t="shared" ca="1" si="27"/>
        <v/>
      </c>
      <c r="K195" s="1732" t="str">
        <f t="shared" ca="1" si="28"/>
        <v/>
      </c>
      <c r="L195" s="1748" t="str">
        <f t="shared" ca="1" si="29"/>
        <v/>
      </c>
      <c r="M195" s="1740" t="str">
        <f t="shared" ca="1" si="36"/>
        <v/>
      </c>
      <c r="N195" s="1734" t="str">
        <f t="shared" ca="1" si="32"/>
        <v/>
      </c>
      <c r="O195" s="264"/>
      <c r="P195" s="264"/>
      <c r="Q195" s="1690">
        <f t="shared" ca="1" si="33"/>
        <v>0</v>
      </c>
      <c r="R195" s="264"/>
      <c r="S195" s="264"/>
      <c r="T195" s="264"/>
      <c r="U195" s="264"/>
      <c r="V195" s="264"/>
    </row>
    <row r="196" spans="1:22" x14ac:dyDescent="0.2">
      <c r="A196" s="264"/>
      <c r="B196" s="1738">
        <v>76</v>
      </c>
      <c r="C196" s="1739" t="str">
        <f t="shared" ca="1" si="30"/>
        <v/>
      </c>
      <c r="D196" s="1732" t="str">
        <f t="shared" ca="1" si="34"/>
        <v/>
      </c>
      <c r="E196" s="1740" t="str">
        <f t="shared" ca="1" si="31"/>
        <v/>
      </c>
      <c r="F196" s="1740" t="str">
        <f t="shared" ca="1" si="25"/>
        <v/>
      </c>
      <c r="G196" s="1740"/>
      <c r="H196" s="1734" t="str">
        <f t="shared" si="35"/>
        <v/>
      </c>
      <c r="I196" s="1735" t="str">
        <f t="shared" ca="1" si="26"/>
        <v/>
      </c>
      <c r="J196" s="1734" t="str">
        <f t="shared" ca="1" si="27"/>
        <v/>
      </c>
      <c r="K196" s="1732" t="str">
        <f t="shared" ca="1" si="28"/>
        <v/>
      </c>
      <c r="L196" s="1748" t="str">
        <f t="shared" ca="1" si="29"/>
        <v/>
      </c>
      <c r="M196" s="1740" t="str">
        <f t="shared" ca="1" si="36"/>
        <v/>
      </c>
      <c r="N196" s="1734" t="str">
        <f t="shared" ca="1" si="32"/>
        <v/>
      </c>
      <c r="O196" s="264"/>
      <c r="P196" s="264"/>
      <c r="Q196" s="1690">
        <f t="shared" ca="1" si="33"/>
        <v>0</v>
      </c>
      <c r="R196" s="264"/>
      <c r="S196" s="264"/>
      <c r="T196" s="264"/>
      <c r="U196" s="264"/>
      <c r="V196" s="264"/>
    </row>
    <row r="197" spans="1:22" x14ac:dyDescent="0.2">
      <c r="A197" s="264"/>
      <c r="B197" s="1738">
        <v>77</v>
      </c>
      <c r="C197" s="1739" t="str">
        <f t="shared" ca="1" si="30"/>
        <v/>
      </c>
      <c r="D197" s="1732" t="str">
        <f t="shared" ca="1" si="34"/>
        <v/>
      </c>
      <c r="E197" s="1740" t="str">
        <f t="shared" ca="1" si="31"/>
        <v/>
      </c>
      <c r="F197" s="1740" t="str">
        <f t="shared" ca="1" si="25"/>
        <v/>
      </c>
      <c r="G197" s="1740"/>
      <c r="H197" s="1734" t="str">
        <f t="shared" si="35"/>
        <v/>
      </c>
      <c r="I197" s="1735" t="str">
        <f t="shared" ca="1" si="26"/>
        <v/>
      </c>
      <c r="J197" s="1734" t="str">
        <f t="shared" ca="1" si="27"/>
        <v/>
      </c>
      <c r="K197" s="1732" t="str">
        <f t="shared" ca="1" si="28"/>
        <v/>
      </c>
      <c r="L197" s="1748" t="str">
        <f t="shared" ca="1" si="29"/>
        <v/>
      </c>
      <c r="M197" s="1740" t="str">
        <f t="shared" ca="1" si="36"/>
        <v/>
      </c>
      <c r="N197" s="1734" t="str">
        <f t="shared" ca="1" si="32"/>
        <v/>
      </c>
      <c r="O197" s="264"/>
      <c r="P197" s="264"/>
      <c r="Q197" s="1690">
        <f t="shared" ca="1" si="33"/>
        <v>0</v>
      </c>
      <c r="R197" s="264"/>
      <c r="S197" s="264"/>
      <c r="T197" s="264"/>
      <c r="U197" s="264"/>
      <c r="V197" s="264"/>
    </row>
    <row r="198" spans="1:22" x14ac:dyDescent="0.2">
      <c r="A198" s="264"/>
      <c r="B198" s="1738">
        <v>78</v>
      </c>
      <c r="C198" s="1739" t="str">
        <f t="shared" ca="1" si="30"/>
        <v/>
      </c>
      <c r="D198" s="1732" t="str">
        <f t="shared" ca="1" si="34"/>
        <v/>
      </c>
      <c r="E198" s="1740" t="str">
        <f t="shared" ca="1" si="31"/>
        <v/>
      </c>
      <c r="F198" s="1740" t="str">
        <f t="shared" ca="1" si="25"/>
        <v/>
      </c>
      <c r="G198" s="1740"/>
      <c r="H198" s="1734" t="str">
        <f t="shared" si="35"/>
        <v/>
      </c>
      <c r="I198" s="1735" t="str">
        <f t="shared" ca="1" si="26"/>
        <v/>
      </c>
      <c r="J198" s="1734" t="str">
        <f t="shared" ca="1" si="27"/>
        <v/>
      </c>
      <c r="K198" s="1732" t="str">
        <f t="shared" ca="1" si="28"/>
        <v/>
      </c>
      <c r="L198" s="1748" t="str">
        <f t="shared" ca="1" si="29"/>
        <v/>
      </c>
      <c r="M198" s="1740" t="str">
        <f t="shared" ca="1" si="36"/>
        <v/>
      </c>
      <c r="N198" s="1734" t="str">
        <f t="shared" ca="1" si="32"/>
        <v/>
      </c>
      <c r="O198" s="264"/>
      <c r="P198" s="264"/>
      <c r="Q198" s="1690">
        <f t="shared" ca="1" si="33"/>
        <v>0</v>
      </c>
      <c r="R198" s="264"/>
      <c r="S198" s="264"/>
      <c r="T198" s="264"/>
      <c r="U198" s="264"/>
      <c r="V198" s="264"/>
    </row>
    <row r="199" spans="1:22" x14ac:dyDescent="0.2">
      <c r="A199" s="264"/>
      <c r="B199" s="1738">
        <v>79</v>
      </c>
      <c r="C199" s="1739" t="str">
        <f t="shared" ca="1" si="30"/>
        <v/>
      </c>
      <c r="D199" s="1732" t="str">
        <f t="shared" ca="1" si="34"/>
        <v/>
      </c>
      <c r="E199" s="1740" t="str">
        <f t="shared" ca="1" si="31"/>
        <v/>
      </c>
      <c r="F199" s="1740" t="str">
        <f t="shared" ca="1" si="25"/>
        <v/>
      </c>
      <c r="G199" s="1740"/>
      <c r="H199" s="1734" t="str">
        <f t="shared" si="35"/>
        <v/>
      </c>
      <c r="I199" s="1735" t="str">
        <f t="shared" ca="1" si="26"/>
        <v/>
      </c>
      <c r="J199" s="1734" t="str">
        <f t="shared" ca="1" si="27"/>
        <v/>
      </c>
      <c r="K199" s="1732" t="str">
        <f t="shared" ca="1" si="28"/>
        <v/>
      </c>
      <c r="L199" s="1748" t="str">
        <f t="shared" ca="1" si="29"/>
        <v/>
      </c>
      <c r="M199" s="1740" t="str">
        <f t="shared" ca="1" si="36"/>
        <v/>
      </c>
      <c r="N199" s="1734" t="str">
        <f t="shared" ca="1" si="32"/>
        <v/>
      </c>
      <c r="O199" s="264"/>
      <c r="P199" s="264"/>
      <c r="Q199" s="1690">
        <f t="shared" ca="1" si="33"/>
        <v>0</v>
      </c>
      <c r="R199" s="264"/>
      <c r="S199" s="264"/>
      <c r="T199" s="264"/>
      <c r="U199" s="264"/>
      <c r="V199" s="264"/>
    </row>
    <row r="200" spans="1:22" x14ac:dyDescent="0.2">
      <c r="A200" s="264"/>
      <c r="B200" s="1738">
        <v>80</v>
      </c>
      <c r="C200" s="1739" t="str">
        <f t="shared" ca="1" si="30"/>
        <v/>
      </c>
      <c r="D200" s="1732" t="str">
        <f t="shared" ca="1" si="34"/>
        <v/>
      </c>
      <c r="E200" s="1740" t="str">
        <f t="shared" ca="1" si="31"/>
        <v/>
      </c>
      <c r="F200" s="1740" t="str">
        <f t="shared" ca="1" si="25"/>
        <v/>
      </c>
      <c r="G200" s="1740"/>
      <c r="H200" s="1734" t="str">
        <f t="shared" si="35"/>
        <v/>
      </c>
      <c r="I200" s="1735" t="str">
        <f t="shared" ca="1" si="26"/>
        <v/>
      </c>
      <c r="J200" s="1734" t="str">
        <f t="shared" ca="1" si="27"/>
        <v/>
      </c>
      <c r="K200" s="1732" t="str">
        <f t="shared" ca="1" si="28"/>
        <v/>
      </c>
      <c r="L200" s="1748" t="str">
        <f t="shared" ca="1" si="29"/>
        <v/>
      </c>
      <c r="M200" s="1740" t="str">
        <f t="shared" ca="1" si="36"/>
        <v/>
      </c>
      <c r="N200" s="1734" t="str">
        <f t="shared" ca="1" si="32"/>
        <v/>
      </c>
      <c r="O200" s="264"/>
      <c r="P200" s="264"/>
      <c r="Q200" s="1690">
        <f t="shared" ca="1" si="33"/>
        <v>0</v>
      </c>
      <c r="R200" s="264"/>
      <c r="S200" s="264"/>
      <c r="T200" s="264"/>
      <c r="U200" s="264"/>
      <c r="V200" s="264"/>
    </row>
    <row r="201" spans="1:22" x14ac:dyDescent="0.2">
      <c r="A201" s="264"/>
      <c r="B201" s="1738">
        <v>81</v>
      </c>
      <c r="C201" s="1739" t="str">
        <f t="shared" ca="1" si="30"/>
        <v/>
      </c>
      <c r="D201" s="1732" t="str">
        <f t="shared" ca="1" si="34"/>
        <v/>
      </c>
      <c r="E201" s="1740" t="str">
        <f t="shared" ca="1" si="31"/>
        <v/>
      </c>
      <c r="F201" s="1740" t="str">
        <f t="shared" ca="1" si="25"/>
        <v/>
      </c>
      <c r="G201" s="1740"/>
      <c r="H201" s="1734" t="str">
        <f t="shared" si="35"/>
        <v/>
      </c>
      <c r="I201" s="1735" t="str">
        <f t="shared" ca="1" si="26"/>
        <v/>
      </c>
      <c r="J201" s="1734" t="str">
        <f t="shared" ca="1" si="27"/>
        <v/>
      </c>
      <c r="K201" s="1732" t="str">
        <f t="shared" ca="1" si="28"/>
        <v/>
      </c>
      <c r="L201" s="1748" t="str">
        <f t="shared" ca="1" si="29"/>
        <v/>
      </c>
      <c r="M201" s="1740" t="str">
        <f t="shared" ca="1" si="36"/>
        <v/>
      </c>
      <c r="N201" s="1734" t="str">
        <f t="shared" ca="1" si="32"/>
        <v/>
      </c>
      <c r="O201" s="264"/>
      <c r="P201" s="264"/>
      <c r="Q201" s="1690">
        <f t="shared" ca="1" si="33"/>
        <v>0</v>
      </c>
      <c r="R201" s="264"/>
      <c r="S201" s="264"/>
      <c r="T201" s="264"/>
      <c r="U201" s="264"/>
      <c r="V201" s="264"/>
    </row>
    <row r="202" spans="1:22" x14ac:dyDescent="0.2">
      <c r="A202" s="264"/>
      <c r="B202" s="1738">
        <v>82</v>
      </c>
      <c r="C202" s="1739" t="str">
        <f t="shared" ca="1" si="30"/>
        <v/>
      </c>
      <c r="D202" s="1732" t="str">
        <f t="shared" ca="1" si="34"/>
        <v/>
      </c>
      <c r="E202" s="1740" t="str">
        <f t="shared" ca="1" si="31"/>
        <v/>
      </c>
      <c r="F202" s="1740" t="str">
        <f t="shared" ca="1" si="25"/>
        <v/>
      </c>
      <c r="G202" s="1740"/>
      <c r="H202" s="1734" t="str">
        <f t="shared" si="35"/>
        <v/>
      </c>
      <c r="I202" s="1735" t="str">
        <f t="shared" ca="1" si="26"/>
        <v/>
      </c>
      <c r="J202" s="1734" t="str">
        <f t="shared" ca="1" si="27"/>
        <v/>
      </c>
      <c r="K202" s="1732" t="str">
        <f t="shared" ca="1" si="28"/>
        <v/>
      </c>
      <c r="L202" s="1748" t="str">
        <f t="shared" ca="1" si="29"/>
        <v/>
      </c>
      <c r="M202" s="1740" t="str">
        <f t="shared" ca="1" si="36"/>
        <v/>
      </c>
      <c r="N202" s="1734" t="str">
        <f t="shared" ca="1" si="32"/>
        <v/>
      </c>
      <c r="O202" s="264"/>
      <c r="P202" s="264"/>
      <c r="Q202" s="1690">
        <f t="shared" ca="1" si="33"/>
        <v>0</v>
      </c>
      <c r="R202" s="264"/>
      <c r="S202" s="264"/>
      <c r="T202" s="264"/>
      <c r="U202" s="264"/>
      <c r="V202" s="264"/>
    </row>
    <row r="203" spans="1:22" x14ac:dyDescent="0.2">
      <c r="A203" s="264"/>
      <c r="B203" s="1738">
        <v>83</v>
      </c>
      <c r="C203" s="1739" t="str">
        <f t="shared" ca="1" si="30"/>
        <v/>
      </c>
      <c r="D203" s="1732" t="str">
        <f t="shared" ca="1" si="34"/>
        <v/>
      </c>
      <c r="E203" s="1740" t="str">
        <f t="shared" ca="1" si="31"/>
        <v/>
      </c>
      <c r="F203" s="1740" t="str">
        <f t="shared" ca="1" si="25"/>
        <v/>
      </c>
      <c r="G203" s="1740"/>
      <c r="H203" s="1734" t="str">
        <f t="shared" si="35"/>
        <v/>
      </c>
      <c r="I203" s="1735" t="str">
        <f t="shared" ca="1" si="26"/>
        <v/>
      </c>
      <c r="J203" s="1734" t="str">
        <f t="shared" ca="1" si="27"/>
        <v/>
      </c>
      <c r="K203" s="1732" t="str">
        <f t="shared" ca="1" si="28"/>
        <v/>
      </c>
      <c r="L203" s="1748" t="str">
        <f t="shared" ca="1" si="29"/>
        <v/>
      </c>
      <c r="M203" s="1740" t="str">
        <f t="shared" ca="1" si="36"/>
        <v/>
      </c>
      <c r="N203" s="1734" t="str">
        <f t="shared" ca="1" si="32"/>
        <v/>
      </c>
      <c r="O203" s="264"/>
      <c r="P203" s="264"/>
      <c r="Q203" s="1690">
        <f t="shared" ca="1" si="33"/>
        <v>0</v>
      </c>
      <c r="R203" s="264"/>
      <c r="S203" s="264"/>
      <c r="T203" s="264"/>
      <c r="U203" s="264"/>
      <c r="V203" s="264"/>
    </row>
    <row r="204" spans="1:22" x14ac:dyDescent="0.2">
      <c r="A204" s="264"/>
      <c r="B204" s="1738">
        <v>84</v>
      </c>
      <c r="C204" s="1739" t="str">
        <f t="shared" ca="1" si="30"/>
        <v/>
      </c>
      <c r="D204" s="1732" t="str">
        <f t="shared" ca="1" si="34"/>
        <v/>
      </c>
      <c r="E204" s="1740" t="str">
        <f t="shared" ca="1" si="31"/>
        <v/>
      </c>
      <c r="F204" s="1740" t="str">
        <f t="shared" ca="1" si="25"/>
        <v/>
      </c>
      <c r="G204" s="1740"/>
      <c r="H204" s="1734" t="str">
        <f t="shared" si="35"/>
        <v/>
      </c>
      <c r="I204" s="1735" t="str">
        <f t="shared" ca="1" si="26"/>
        <v/>
      </c>
      <c r="J204" s="1734" t="str">
        <f t="shared" ca="1" si="27"/>
        <v/>
      </c>
      <c r="K204" s="1732" t="str">
        <f t="shared" ca="1" si="28"/>
        <v/>
      </c>
      <c r="L204" s="1748" t="str">
        <f t="shared" ca="1" si="29"/>
        <v/>
      </c>
      <c r="M204" s="1740" t="str">
        <f t="shared" ca="1" si="36"/>
        <v/>
      </c>
      <c r="N204" s="1734" t="str">
        <f t="shared" ca="1" si="32"/>
        <v/>
      </c>
      <c r="O204" s="264"/>
      <c r="P204" s="264"/>
      <c r="Q204" s="1690">
        <f t="shared" ca="1" si="33"/>
        <v>0</v>
      </c>
      <c r="R204" s="264"/>
      <c r="S204" s="264"/>
      <c r="T204" s="264"/>
      <c r="U204" s="264"/>
      <c r="V204" s="264"/>
    </row>
    <row r="205" spans="1:22" x14ac:dyDescent="0.2">
      <c r="A205" s="264"/>
      <c r="B205" s="1738">
        <v>85</v>
      </c>
      <c r="C205" s="1739" t="str">
        <f t="shared" ca="1" si="30"/>
        <v/>
      </c>
      <c r="D205" s="1732" t="str">
        <f t="shared" ca="1" si="34"/>
        <v/>
      </c>
      <c r="E205" s="1740" t="str">
        <f t="shared" ca="1" si="31"/>
        <v/>
      </c>
      <c r="F205" s="1740" t="str">
        <f t="shared" ca="1" si="25"/>
        <v/>
      </c>
      <c r="G205" s="1740"/>
      <c r="H205" s="1734" t="str">
        <f t="shared" si="35"/>
        <v/>
      </c>
      <c r="I205" s="1735" t="str">
        <f t="shared" ca="1" si="26"/>
        <v/>
      </c>
      <c r="J205" s="1734" t="str">
        <f t="shared" ca="1" si="27"/>
        <v/>
      </c>
      <c r="K205" s="1732" t="str">
        <f t="shared" ca="1" si="28"/>
        <v/>
      </c>
      <c r="L205" s="1748" t="str">
        <f t="shared" ca="1" si="29"/>
        <v/>
      </c>
      <c r="M205" s="1740" t="str">
        <f t="shared" ca="1" si="36"/>
        <v/>
      </c>
      <c r="N205" s="1734" t="str">
        <f t="shared" ca="1" si="32"/>
        <v/>
      </c>
      <c r="O205" s="264"/>
      <c r="P205" s="264"/>
      <c r="Q205" s="1690">
        <f t="shared" ca="1" si="33"/>
        <v>0</v>
      </c>
      <c r="R205" s="264"/>
      <c r="S205" s="264"/>
      <c r="T205" s="264"/>
      <c r="U205" s="264"/>
      <c r="V205" s="264"/>
    </row>
    <row r="206" spans="1:22" x14ac:dyDescent="0.2">
      <c r="A206" s="264"/>
      <c r="B206" s="1738">
        <v>86</v>
      </c>
      <c r="C206" s="1739" t="str">
        <f t="shared" ca="1" si="30"/>
        <v/>
      </c>
      <c r="D206" s="1732" t="str">
        <f t="shared" ca="1" si="34"/>
        <v/>
      </c>
      <c r="E206" s="1740" t="str">
        <f t="shared" ca="1" si="31"/>
        <v/>
      </c>
      <c r="F206" s="1740" t="str">
        <f t="shared" ca="1" si="25"/>
        <v/>
      </c>
      <c r="G206" s="1740"/>
      <c r="H206" s="1734" t="str">
        <f t="shared" si="35"/>
        <v/>
      </c>
      <c r="I206" s="1735" t="str">
        <f t="shared" ca="1" si="26"/>
        <v/>
      </c>
      <c r="J206" s="1734" t="str">
        <f t="shared" ca="1" si="27"/>
        <v/>
      </c>
      <c r="K206" s="1732" t="str">
        <f t="shared" ca="1" si="28"/>
        <v/>
      </c>
      <c r="L206" s="1748" t="str">
        <f t="shared" ca="1" si="29"/>
        <v/>
      </c>
      <c r="M206" s="1740" t="str">
        <f t="shared" ca="1" si="36"/>
        <v/>
      </c>
      <c r="N206" s="1734" t="str">
        <f t="shared" ca="1" si="32"/>
        <v/>
      </c>
      <c r="O206" s="264"/>
      <c r="P206" s="264"/>
      <c r="Q206" s="1690">
        <f t="shared" ca="1" si="33"/>
        <v>0</v>
      </c>
      <c r="R206" s="264"/>
      <c r="S206" s="264"/>
      <c r="T206" s="264"/>
      <c r="U206" s="264"/>
      <c r="V206" s="264"/>
    </row>
    <row r="207" spans="1:22" x14ac:dyDescent="0.2">
      <c r="A207" s="264"/>
      <c r="B207" s="1738">
        <v>87</v>
      </c>
      <c r="C207" s="1739" t="str">
        <f t="shared" ca="1" si="30"/>
        <v/>
      </c>
      <c r="D207" s="1732" t="str">
        <f t="shared" ca="1" si="34"/>
        <v/>
      </c>
      <c r="E207" s="1740" t="str">
        <f t="shared" ca="1" si="31"/>
        <v/>
      </c>
      <c r="F207" s="1740" t="str">
        <f t="shared" ca="1" si="25"/>
        <v/>
      </c>
      <c r="G207" s="1740"/>
      <c r="H207" s="1734" t="str">
        <f t="shared" si="35"/>
        <v/>
      </c>
      <c r="I207" s="1735" t="str">
        <f t="shared" ca="1" si="26"/>
        <v/>
      </c>
      <c r="J207" s="1734" t="str">
        <f t="shared" ca="1" si="27"/>
        <v/>
      </c>
      <c r="K207" s="1732" t="str">
        <f t="shared" ca="1" si="28"/>
        <v/>
      </c>
      <c r="L207" s="1748" t="str">
        <f t="shared" ca="1" si="29"/>
        <v/>
      </c>
      <c r="M207" s="1740" t="str">
        <f t="shared" ca="1" si="36"/>
        <v/>
      </c>
      <c r="N207" s="1734" t="str">
        <f t="shared" ca="1" si="32"/>
        <v/>
      </c>
      <c r="O207" s="264"/>
      <c r="P207" s="264"/>
      <c r="Q207" s="1690">
        <f t="shared" ca="1" si="33"/>
        <v>0</v>
      </c>
      <c r="R207" s="264"/>
      <c r="S207" s="264"/>
      <c r="T207" s="264"/>
      <c r="U207" s="264"/>
      <c r="V207" s="264"/>
    </row>
    <row r="208" spans="1:22" x14ac:dyDescent="0.2">
      <c r="A208" s="264"/>
      <c r="B208" s="1738">
        <v>88</v>
      </c>
      <c r="C208" s="1739" t="str">
        <f t="shared" ca="1" si="30"/>
        <v/>
      </c>
      <c r="D208" s="1732" t="str">
        <f t="shared" ca="1" si="34"/>
        <v/>
      </c>
      <c r="E208" s="1740" t="str">
        <f t="shared" ca="1" si="31"/>
        <v/>
      </c>
      <c r="F208" s="1740" t="str">
        <f t="shared" ca="1" si="25"/>
        <v/>
      </c>
      <c r="G208" s="1740"/>
      <c r="H208" s="1734" t="str">
        <f t="shared" si="35"/>
        <v/>
      </c>
      <c r="I208" s="1735" t="str">
        <f t="shared" ca="1" si="26"/>
        <v/>
      </c>
      <c r="J208" s="1734" t="str">
        <f t="shared" ca="1" si="27"/>
        <v/>
      </c>
      <c r="K208" s="1732" t="str">
        <f t="shared" ca="1" si="28"/>
        <v/>
      </c>
      <c r="L208" s="1748" t="str">
        <f t="shared" ca="1" si="29"/>
        <v/>
      </c>
      <c r="M208" s="1740" t="str">
        <f t="shared" ca="1" si="36"/>
        <v/>
      </c>
      <c r="N208" s="1734" t="str">
        <f t="shared" ca="1" si="32"/>
        <v/>
      </c>
      <c r="O208" s="264"/>
      <c r="P208" s="264"/>
      <c r="Q208" s="1690">
        <f t="shared" ca="1" si="33"/>
        <v>0</v>
      </c>
      <c r="R208" s="264"/>
      <c r="S208" s="264"/>
      <c r="T208" s="264"/>
      <c r="U208" s="264"/>
      <c r="V208" s="264"/>
    </row>
    <row r="209" spans="1:22" x14ac:dyDescent="0.2">
      <c r="A209" s="264"/>
      <c r="B209" s="1738">
        <v>89</v>
      </c>
      <c r="C209" s="1739" t="str">
        <f t="shared" ca="1" si="30"/>
        <v/>
      </c>
      <c r="D209" s="1732" t="str">
        <f t="shared" ca="1" si="34"/>
        <v/>
      </c>
      <c r="E209" s="1740" t="str">
        <f t="shared" ca="1" si="31"/>
        <v/>
      </c>
      <c r="F209" s="1740" t="str">
        <f t="shared" ca="1" si="25"/>
        <v/>
      </c>
      <c r="G209" s="1740"/>
      <c r="H209" s="1734" t="str">
        <f t="shared" si="35"/>
        <v/>
      </c>
      <c r="I209" s="1735" t="str">
        <f t="shared" ca="1" si="26"/>
        <v/>
      </c>
      <c r="J209" s="1734" t="str">
        <f t="shared" ca="1" si="27"/>
        <v/>
      </c>
      <c r="K209" s="1732" t="str">
        <f t="shared" ca="1" si="28"/>
        <v/>
      </c>
      <c r="L209" s="1748" t="str">
        <f t="shared" ca="1" si="29"/>
        <v/>
      </c>
      <c r="M209" s="1740" t="str">
        <f t="shared" ca="1" si="36"/>
        <v/>
      </c>
      <c r="N209" s="1734" t="str">
        <f t="shared" ca="1" si="32"/>
        <v/>
      </c>
      <c r="O209" s="264"/>
      <c r="P209" s="264"/>
      <c r="Q209" s="1690">
        <f t="shared" ca="1" si="33"/>
        <v>0</v>
      </c>
      <c r="R209" s="264"/>
      <c r="S209" s="264"/>
      <c r="T209" s="264"/>
      <c r="U209" s="264"/>
      <c r="V209" s="264"/>
    </row>
    <row r="210" spans="1:22" x14ac:dyDescent="0.2">
      <c r="A210" s="264"/>
      <c r="B210" s="1738">
        <v>90</v>
      </c>
      <c r="C210" s="1739" t="str">
        <f t="shared" ca="1" si="30"/>
        <v/>
      </c>
      <c r="D210" s="1732" t="str">
        <f t="shared" ca="1" si="34"/>
        <v/>
      </c>
      <c r="E210" s="1740" t="str">
        <f t="shared" ca="1" si="31"/>
        <v/>
      </c>
      <c r="F210" s="1740" t="str">
        <f t="shared" ca="1" si="25"/>
        <v/>
      </c>
      <c r="G210" s="1740"/>
      <c r="H210" s="1734" t="str">
        <f t="shared" si="35"/>
        <v/>
      </c>
      <c r="I210" s="1735" t="str">
        <f t="shared" ca="1" si="26"/>
        <v/>
      </c>
      <c r="J210" s="1734" t="str">
        <f t="shared" ca="1" si="27"/>
        <v/>
      </c>
      <c r="K210" s="1732" t="str">
        <f t="shared" ca="1" si="28"/>
        <v/>
      </c>
      <c r="L210" s="1748" t="str">
        <f t="shared" ca="1" si="29"/>
        <v/>
      </c>
      <c r="M210" s="1740" t="str">
        <f t="shared" ca="1" si="36"/>
        <v/>
      </c>
      <c r="N210" s="1734" t="str">
        <f t="shared" ca="1" si="32"/>
        <v/>
      </c>
      <c r="O210" s="264"/>
      <c r="P210" s="264"/>
      <c r="Q210" s="1690">
        <f t="shared" ca="1" si="33"/>
        <v>0</v>
      </c>
      <c r="R210" s="264"/>
      <c r="S210" s="264"/>
      <c r="T210" s="264"/>
      <c r="U210" s="264"/>
      <c r="V210" s="264"/>
    </row>
    <row r="211" spans="1:22" x14ac:dyDescent="0.2">
      <c r="A211" s="264"/>
      <c r="B211" s="1738">
        <v>91</v>
      </c>
      <c r="C211" s="1739" t="str">
        <f t="shared" ca="1" si="30"/>
        <v/>
      </c>
      <c r="D211" s="1732" t="str">
        <f t="shared" ca="1" si="34"/>
        <v/>
      </c>
      <c r="E211" s="1740" t="str">
        <f t="shared" ca="1" si="31"/>
        <v/>
      </c>
      <c r="F211" s="1740" t="str">
        <f t="shared" ca="1" si="25"/>
        <v/>
      </c>
      <c r="G211" s="1740"/>
      <c r="H211" s="1734" t="str">
        <f t="shared" si="35"/>
        <v/>
      </c>
      <c r="I211" s="1735" t="str">
        <f t="shared" ca="1" si="26"/>
        <v/>
      </c>
      <c r="J211" s="1734" t="str">
        <f t="shared" ca="1" si="27"/>
        <v/>
      </c>
      <c r="K211" s="1732" t="str">
        <f t="shared" ca="1" si="28"/>
        <v/>
      </c>
      <c r="L211" s="1748" t="str">
        <f t="shared" ca="1" si="29"/>
        <v/>
      </c>
      <c r="M211" s="1740" t="str">
        <f t="shared" ca="1" si="36"/>
        <v/>
      </c>
      <c r="N211" s="1734" t="str">
        <f t="shared" ca="1" si="32"/>
        <v/>
      </c>
      <c r="O211" s="264"/>
      <c r="P211" s="264"/>
      <c r="Q211" s="1690">
        <f t="shared" ca="1" si="33"/>
        <v>0</v>
      </c>
      <c r="R211" s="264"/>
      <c r="S211" s="264"/>
      <c r="T211" s="264"/>
      <c r="U211" s="264"/>
      <c r="V211" s="264"/>
    </row>
    <row r="212" spans="1:22" x14ac:dyDescent="0.2">
      <c r="A212" s="264"/>
      <c r="B212" s="1738">
        <v>92</v>
      </c>
      <c r="C212" s="1739" t="str">
        <f t="shared" ca="1" si="30"/>
        <v/>
      </c>
      <c r="D212" s="1732" t="str">
        <f t="shared" ca="1" si="34"/>
        <v/>
      </c>
      <c r="E212" s="1740" t="str">
        <f t="shared" ca="1" si="31"/>
        <v/>
      </c>
      <c r="F212" s="1740" t="str">
        <f t="shared" ca="1" si="25"/>
        <v/>
      </c>
      <c r="G212" s="1740"/>
      <c r="H212" s="1734" t="str">
        <f>IF(OR(H211=0,H211=""),
        "",
        H211-F212-G212)</f>
        <v/>
      </c>
      <c r="I212" s="1735" t="str">
        <f t="shared" ca="1" si="26"/>
        <v/>
      </c>
      <c r="J212" s="1734" t="str">
        <f t="shared" ca="1" si="27"/>
        <v/>
      </c>
      <c r="K212" s="1732" t="str">
        <f t="shared" ca="1" si="28"/>
        <v/>
      </c>
      <c r="L212" s="1748" t="str">
        <f t="shared" ca="1" si="29"/>
        <v/>
      </c>
      <c r="M212" s="1740" t="str">
        <f t="shared" ca="1" si="36"/>
        <v/>
      </c>
      <c r="N212" s="1734" t="str">
        <f t="shared" ca="1" si="32"/>
        <v/>
      </c>
      <c r="O212" s="264"/>
      <c r="P212" s="264"/>
      <c r="Q212" s="1690">
        <f t="shared" ca="1" si="33"/>
        <v>0</v>
      </c>
      <c r="R212" s="264"/>
      <c r="S212" s="264"/>
      <c r="T212" s="264"/>
      <c r="U212" s="264"/>
      <c r="V212" s="264"/>
    </row>
    <row r="213" spans="1:22" x14ac:dyDescent="0.2">
      <c r="A213" s="264"/>
      <c r="B213" s="1738">
        <v>93</v>
      </c>
      <c r="C213" s="1739" t="str">
        <f t="shared" ca="1" si="30"/>
        <v/>
      </c>
      <c r="D213" s="1732" t="str">
        <f t="shared" ca="1" si="34"/>
        <v/>
      </c>
      <c r="E213" s="1740" t="str">
        <f t="shared" ca="1" si="31"/>
        <v/>
      </c>
      <c r="F213" s="1740" t="str">
        <f t="shared" ca="1" si="25"/>
        <v/>
      </c>
      <c r="G213" s="1740"/>
      <c r="H213" s="1734" t="str">
        <f t="shared" si="35"/>
        <v/>
      </c>
      <c r="I213" s="1735" t="str">
        <f t="shared" ca="1" si="26"/>
        <v/>
      </c>
      <c r="J213" s="1734" t="str">
        <f t="shared" ca="1" si="27"/>
        <v/>
      </c>
      <c r="K213" s="1732" t="str">
        <f t="shared" ca="1" si="28"/>
        <v/>
      </c>
      <c r="L213" s="1748" t="str">
        <f t="shared" ca="1" si="29"/>
        <v/>
      </c>
      <c r="M213" s="1740" t="str">
        <f t="shared" ca="1" si="36"/>
        <v/>
      </c>
      <c r="N213" s="1734" t="str">
        <f t="shared" ca="1" si="32"/>
        <v/>
      </c>
      <c r="O213" s="264"/>
      <c r="P213" s="264"/>
      <c r="Q213" s="1690">
        <f t="shared" ca="1" si="33"/>
        <v>0</v>
      </c>
      <c r="R213" s="264"/>
      <c r="S213" s="264"/>
      <c r="T213" s="264"/>
      <c r="U213" s="264"/>
      <c r="V213" s="264"/>
    </row>
    <row r="214" spans="1:22" x14ac:dyDescent="0.2">
      <c r="A214" s="264"/>
      <c r="B214" s="1738">
        <v>94</v>
      </c>
      <c r="C214" s="1739" t="str">
        <f t="shared" ca="1" si="30"/>
        <v/>
      </c>
      <c r="D214" s="1732" t="str">
        <f t="shared" ca="1" si="34"/>
        <v/>
      </c>
      <c r="E214" s="1740" t="str">
        <f t="shared" ca="1" si="31"/>
        <v/>
      </c>
      <c r="F214" s="1740" t="str">
        <f t="shared" ca="1" si="25"/>
        <v/>
      </c>
      <c r="G214" s="1740"/>
      <c r="H214" s="1734" t="str">
        <f t="shared" si="35"/>
        <v/>
      </c>
      <c r="I214" s="1735" t="str">
        <f t="shared" ca="1" si="26"/>
        <v/>
      </c>
      <c r="J214" s="1734" t="str">
        <f t="shared" ca="1" si="27"/>
        <v/>
      </c>
      <c r="K214" s="1732" t="str">
        <f t="shared" ca="1" si="28"/>
        <v/>
      </c>
      <c r="L214" s="1748" t="str">
        <f t="shared" ca="1" si="29"/>
        <v/>
      </c>
      <c r="M214" s="1740" t="str">
        <f t="shared" ca="1" si="36"/>
        <v/>
      </c>
      <c r="N214" s="1734" t="str">
        <f t="shared" ca="1" si="32"/>
        <v/>
      </c>
      <c r="O214" s="264"/>
      <c r="P214" s="264"/>
      <c r="Q214" s="1690">
        <f t="shared" ca="1" si="33"/>
        <v>0</v>
      </c>
      <c r="R214" s="264"/>
      <c r="S214" s="264"/>
      <c r="T214" s="264"/>
      <c r="U214" s="264"/>
      <c r="V214" s="264"/>
    </row>
    <row r="215" spans="1:22" x14ac:dyDescent="0.2">
      <c r="A215" s="264"/>
      <c r="B215" s="1738">
        <v>95</v>
      </c>
      <c r="C215" s="1739" t="str">
        <f t="shared" ca="1" si="30"/>
        <v/>
      </c>
      <c r="D215" s="1732" t="str">
        <f t="shared" ca="1" si="34"/>
        <v/>
      </c>
      <c r="E215" s="1740" t="str">
        <f t="shared" ca="1" si="31"/>
        <v/>
      </c>
      <c r="F215" s="1740" t="str">
        <f t="shared" ca="1" si="25"/>
        <v/>
      </c>
      <c r="G215" s="1740"/>
      <c r="H215" s="1734" t="str">
        <f t="shared" si="35"/>
        <v/>
      </c>
      <c r="I215" s="1735" t="str">
        <f t="shared" ca="1" si="26"/>
        <v/>
      </c>
      <c r="J215" s="1734" t="str">
        <f t="shared" ca="1" si="27"/>
        <v/>
      </c>
      <c r="K215" s="1732" t="str">
        <f t="shared" ca="1" si="28"/>
        <v/>
      </c>
      <c r="L215" s="1748" t="str">
        <f t="shared" ca="1" si="29"/>
        <v/>
      </c>
      <c r="M215" s="1740" t="str">
        <f t="shared" ca="1" si="36"/>
        <v/>
      </c>
      <c r="N215" s="1734" t="str">
        <f t="shared" ca="1" si="32"/>
        <v/>
      </c>
      <c r="O215" s="264"/>
      <c r="P215" s="264"/>
      <c r="Q215" s="1690">
        <f t="shared" ca="1" si="33"/>
        <v>0</v>
      </c>
      <c r="R215" s="264"/>
      <c r="S215" s="264"/>
      <c r="T215" s="264"/>
      <c r="U215" s="264"/>
      <c r="V215" s="264"/>
    </row>
    <row r="216" spans="1:22" x14ac:dyDescent="0.2">
      <c r="A216" s="264"/>
      <c r="B216" s="1738">
        <v>96</v>
      </c>
      <c r="C216" s="1739" t="str">
        <f t="shared" ca="1" si="30"/>
        <v/>
      </c>
      <c r="D216" s="1732" t="str">
        <f t="shared" ca="1" si="34"/>
        <v/>
      </c>
      <c r="E216" s="1740" t="str">
        <f t="shared" ca="1" si="31"/>
        <v/>
      </c>
      <c r="F216" s="1740" t="str">
        <f t="shared" ca="1" si="25"/>
        <v/>
      </c>
      <c r="G216" s="1740"/>
      <c r="H216" s="1734" t="str">
        <f t="shared" si="35"/>
        <v/>
      </c>
      <c r="I216" s="1735" t="str">
        <f t="shared" ca="1" si="26"/>
        <v/>
      </c>
      <c r="J216" s="1734" t="str">
        <f t="shared" ca="1" si="27"/>
        <v/>
      </c>
      <c r="K216" s="1732" t="str">
        <f t="shared" ca="1" si="28"/>
        <v/>
      </c>
      <c r="L216" s="1748" t="str">
        <f t="shared" ca="1" si="29"/>
        <v/>
      </c>
      <c r="M216" s="1740" t="str">
        <f t="shared" ca="1" si="36"/>
        <v/>
      </c>
      <c r="N216" s="1734" t="str">
        <f t="shared" ca="1" si="32"/>
        <v/>
      </c>
      <c r="O216" s="264"/>
      <c r="P216" s="264"/>
      <c r="Q216" s="1690">
        <f t="shared" ca="1" si="33"/>
        <v>0</v>
      </c>
      <c r="R216" s="264"/>
      <c r="S216" s="264"/>
      <c r="T216" s="264"/>
      <c r="U216" s="264"/>
      <c r="V216" s="264"/>
    </row>
    <row r="217" spans="1:22" x14ac:dyDescent="0.2">
      <c r="A217" s="264"/>
      <c r="B217" s="1738">
        <v>97</v>
      </c>
      <c r="C217" s="1739" t="str">
        <f t="shared" ca="1" si="30"/>
        <v/>
      </c>
      <c r="D217" s="1732" t="str">
        <f t="shared" ca="1" si="34"/>
        <v/>
      </c>
      <c r="E217" s="1740" t="str">
        <f t="shared" ca="1" si="31"/>
        <v/>
      </c>
      <c r="F217" s="1740" t="str">
        <f t="shared" ca="1" si="25"/>
        <v/>
      </c>
      <c r="G217" s="1740"/>
      <c r="H217" s="1734" t="str">
        <f t="shared" si="35"/>
        <v/>
      </c>
      <c r="I217" s="1735" t="str">
        <f t="shared" ref="I217:I220" ca="1" si="37">IFERROR(
        IF(C217="",
                "",
                IF(C217&gt;INDEX(C$121:C$220,60),
                        0,
                        ROUND(E217*MIN(1,H$90/H$89),2))),
        "")</f>
        <v/>
      </c>
      <c r="J217" s="1734" t="str">
        <f t="shared" ca="1" si="27"/>
        <v/>
      </c>
      <c r="K217" s="1732" t="str">
        <f t="shared" ca="1" si="28"/>
        <v/>
      </c>
      <c r="L217" s="1748" t="str">
        <f t="shared" ref="L217:L220" ca="1" si="38">IFERROR(
        MAX(0,ROUNDUP((D217-IF(B217=1,
                        0,
                        IFERROR(INDEX(I$121:I$220,(B217-H$95)^2/(B217-H$95)),0)))/
                       (H$5*H$97*H$98),
                2)),
        K217)</f>
        <v/>
      </c>
      <c r="M217" s="1740" t="str">
        <f t="shared" ca="1" si="36"/>
        <v/>
      </c>
      <c r="N217" s="1734" t="str">
        <f t="shared" ca="1" si="32"/>
        <v/>
      </c>
      <c r="O217" s="264"/>
      <c r="P217" s="264"/>
      <c r="Q217" s="1690">
        <f t="shared" ca="1" si="33"/>
        <v>0</v>
      </c>
      <c r="R217" s="264"/>
      <c r="S217" s="264"/>
      <c r="T217" s="264"/>
      <c r="U217" s="264"/>
      <c r="V217" s="264"/>
    </row>
    <row r="218" spans="1:22" x14ac:dyDescent="0.2">
      <c r="A218" s="264"/>
      <c r="B218" s="1738">
        <v>98</v>
      </c>
      <c r="C218" s="1739" t="str">
        <f t="shared" ca="1" si="30"/>
        <v/>
      </c>
      <c r="D218" s="1732" t="str">
        <f t="shared" ca="1" si="34"/>
        <v/>
      </c>
      <c r="E218" s="1740" t="str">
        <f t="shared" ca="1" si="31"/>
        <v/>
      </c>
      <c r="F218" s="1740" t="str">
        <f t="shared" ca="1" si="25"/>
        <v/>
      </c>
      <c r="G218" s="1740"/>
      <c r="H218" s="1734" t="str">
        <f t="shared" si="35"/>
        <v/>
      </c>
      <c r="I218" s="1735" t="str">
        <f t="shared" ca="1" si="37"/>
        <v/>
      </c>
      <c r="J218" s="1734" t="str">
        <f t="shared" ca="1" si="27"/>
        <v/>
      </c>
      <c r="K218" s="1732" t="str">
        <f t="shared" ca="1" si="28"/>
        <v/>
      </c>
      <c r="L218" s="1748" t="str">
        <f t="shared" ca="1" si="38"/>
        <v/>
      </c>
      <c r="M218" s="1740" t="str">
        <f t="shared" ca="1" si="36"/>
        <v/>
      </c>
      <c r="N218" s="1734" t="str">
        <f t="shared" ref="N218:N220" ca="1" si="39">IFERROR(ROUND(M218*H$5*H$97*H$98-D218+IFERROR(INDEX(I$121:I$220,(B218-H$95)^2/(B218-H$95)),0)+N217,2),"")</f>
        <v/>
      </c>
      <c r="O218" s="264"/>
      <c r="P218" s="264"/>
      <c r="Q218" s="1690">
        <f t="shared" ca="1" si="33"/>
        <v>0</v>
      </c>
      <c r="R218" s="264"/>
      <c r="S218" s="264"/>
      <c r="T218" s="264"/>
      <c r="U218" s="264"/>
      <c r="V218" s="264"/>
    </row>
    <row r="219" spans="1:22" x14ac:dyDescent="0.2">
      <c r="A219" s="264"/>
      <c r="B219" s="1738">
        <v>99</v>
      </c>
      <c r="C219" s="1739" t="str">
        <f t="shared" ca="1" si="30"/>
        <v/>
      </c>
      <c r="D219" s="1732" t="str">
        <f t="shared" ca="1" si="34"/>
        <v/>
      </c>
      <c r="E219" s="1740" t="str">
        <f t="shared" ca="1" si="31"/>
        <v/>
      </c>
      <c r="F219" s="1740" t="str">
        <f t="shared" ca="1" si="25"/>
        <v/>
      </c>
      <c r="G219" s="1740"/>
      <c r="H219" s="1734" t="str">
        <f t="shared" si="35"/>
        <v/>
      </c>
      <c r="I219" s="1735" t="str">
        <f t="shared" ca="1" si="37"/>
        <v/>
      </c>
      <c r="J219" s="1734" t="str">
        <f t="shared" ca="1" si="27"/>
        <v/>
      </c>
      <c r="K219" s="1732" t="str">
        <f t="shared" ca="1" si="28"/>
        <v/>
      </c>
      <c r="L219" s="1748" t="str">
        <f t="shared" ca="1" si="38"/>
        <v/>
      </c>
      <c r="M219" s="1740" t="str">
        <f t="shared" ref="M219:M220" ca="1"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4" t="str">
        <f t="shared" ca="1" si="39"/>
        <v/>
      </c>
      <c r="O219" s="264"/>
      <c r="P219" s="264"/>
      <c r="Q219" s="1690">
        <f t="shared" ca="1" si="33"/>
        <v>0</v>
      </c>
      <c r="R219" s="264"/>
      <c r="S219" s="264"/>
      <c r="T219" s="264"/>
      <c r="U219" s="264"/>
      <c r="V219" s="264"/>
    </row>
    <row r="220" spans="1:22" x14ac:dyDescent="0.2">
      <c r="A220" s="264"/>
      <c r="B220" s="1741">
        <v>100</v>
      </c>
      <c r="C220" s="1742" t="str">
        <f t="shared" ca="1" si="30"/>
        <v/>
      </c>
      <c r="D220" s="1743" t="str">
        <f t="shared" ca="1" si="34"/>
        <v/>
      </c>
      <c r="E220" s="1744" t="str">
        <f t="shared" ca="1" si="31"/>
        <v/>
      </c>
      <c r="F220" s="1744" t="str">
        <f t="shared" ca="1" si="25"/>
        <v/>
      </c>
      <c r="G220" s="1744"/>
      <c r="H220" s="1745" t="str">
        <f t="shared" si="35"/>
        <v/>
      </c>
      <c r="I220" s="1743" t="str">
        <f t="shared" ca="1" si="37"/>
        <v/>
      </c>
      <c r="J220" s="1745" t="str">
        <f t="shared" ca="1" si="27"/>
        <v/>
      </c>
      <c r="K220" s="1743" t="str">
        <f t="shared" ca="1" si="28"/>
        <v/>
      </c>
      <c r="L220" s="1744" t="str">
        <f t="shared" ca="1" si="38"/>
        <v/>
      </c>
      <c r="M220" s="1744" t="str">
        <f t="shared" ca="1" si="40"/>
        <v/>
      </c>
      <c r="N220" s="1745" t="str">
        <f t="shared" ca="1" si="39"/>
        <v/>
      </c>
      <c r="O220" s="264"/>
      <c r="P220" s="264"/>
      <c r="Q220" s="1690">
        <f t="shared" ca="1" si="33"/>
        <v>0</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 ref="B95:G95"/>
    <mergeCell ref="B96:G96"/>
    <mergeCell ref="B97:G97"/>
    <mergeCell ref="B90:G90"/>
    <mergeCell ref="B91:G91"/>
    <mergeCell ref="B92:G92"/>
    <mergeCell ref="B93:G93"/>
    <mergeCell ref="B94:G94"/>
    <mergeCell ref="B88:G88"/>
    <mergeCell ref="B89:G89"/>
    <mergeCell ref="I90:K91"/>
    <mergeCell ref="B39:E39"/>
    <mergeCell ref="B40:E40"/>
    <mergeCell ref="B41:E41"/>
    <mergeCell ref="B42:E42"/>
    <mergeCell ref="B43:E43"/>
    <mergeCell ref="B44:E44"/>
    <mergeCell ref="B45:E45"/>
    <mergeCell ref="B46:E46"/>
    <mergeCell ref="B47:E47"/>
    <mergeCell ref="B48:E48"/>
    <mergeCell ref="N119:N120"/>
    <mergeCell ref="B118:C118"/>
    <mergeCell ref="D118:H118"/>
    <mergeCell ref="I118:I119"/>
    <mergeCell ref="J118:J119"/>
    <mergeCell ref="K118:N118"/>
    <mergeCell ref="B119:B120"/>
    <mergeCell ref="C119:C120"/>
    <mergeCell ref="H119:H120"/>
    <mergeCell ref="K119:K120"/>
    <mergeCell ref="L119:M119"/>
    <mergeCell ref="D119:D120"/>
    <mergeCell ref="E24:G24"/>
    <mergeCell ref="E25:G25"/>
    <mergeCell ref="B80:G80"/>
    <mergeCell ref="B81:G81"/>
    <mergeCell ref="B82:G82"/>
    <mergeCell ref="B86:G86"/>
    <mergeCell ref="B87:G87"/>
    <mergeCell ref="B16:G16"/>
    <mergeCell ref="B17:G17"/>
    <mergeCell ref="B30:G30"/>
    <mergeCell ref="B83:G83"/>
    <mergeCell ref="E22:G22"/>
    <mergeCell ref="J17:K17"/>
    <mergeCell ref="J18:K18"/>
    <mergeCell ref="J19:K19"/>
    <mergeCell ref="B21:G21"/>
    <mergeCell ref="H22:I22"/>
    <mergeCell ref="J22:K22"/>
    <mergeCell ref="H23:I23"/>
    <mergeCell ref="J23:K23"/>
    <mergeCell ref="E23:G23"/>
    <mergeCell ref="H26:I26"/>
    <mergeCell ref="J26:K26"/>
    <mergeCell ref="B32:G32"/>
    <mergeCell ref="B33:G33"/>
    <mergeCell ref="B34:G34"/>
    <mergeCell ref="E26:G26"/>
    <mergeCell ref="B79:H79"/>
    <mergeCell ref="B28:G28"/>
    <mergeCell ref="B29:G29"/>
    <mergeCell ref="I33:O33"/>
    <mergeCell ref="I30:K30"/>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s>
  <conditionalFormatting sqref="N121:N220">
    <cfRule type="cellIs" dxfId="70" priority="24" operator="lessThan">
      <formula>0</formula>
    </cfRule>
  </conditionalFormatting>
  <conditionalFormatting sqref="I82:L85">
    <cfRule type="expression" dxfId="69" priority="20">
      <formula>OR($H$82=0,$H$82="")</formula>
    </cfRule>
  </conditionalFormatting>
  <conditionalFormatting sqref="M82:R82">
    <cfRule type="expression" dxfId="68" priority="1">
      <formula>$H$32=0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3"/>
  <headerFooter>
    <oddFooter>&amp;Rстраница &amp;P из &amp;N</oddFooter>
  </headerFooter>
  <rowBreaks count="3" manualBreakCount="3">
    <brk id="36" min="1" max="17" man="1"/>
    <brk id="78" min="1" max="17" man="1"/>
    <brk id="117" max="16383" man="1"/>
  </rowBreaks>
  <drawing r:id="rId4"/>
  <extLst>
    <ext xmlns:x14="http://schemas.microsoft.com/office/spreadsheetml/2009/9/main" uri="{78C0D931-6437-407d-A8EE-F0AAD7539E65}">
      <x14:conditionalFormattings>
        <x14:conditionalFormatting xmlns:xm="http://schemas.microsoft.com/office/excel/2006/main">
          <x14:cfRule type="expression" priority="22"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1"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2" id="{05201C23-D228-4FF4-9AE6-CEDA5A1A1E36}">
            <xm:f>'классы ЭЭ и выбросы ПГ'!$D$34=1</xm:f>
            <x14:dxf>
              <fill>
                <patternFill>
                  <bgColor theme="0" tint="-0.14996795556505021"/>
                </patternFill>
              </fill>
            </x14:dxf>
          </x14:cfRule>
          <x14:cfRule type="expression" priority="11" id="{DDCFE43C-4174-4648-9DAE-BF765A98B6E5}">
            <xm:f>'классы ЭЭ и выбросы ПГ'!$E$34=1</xm:f>
            <x14:dxf>
              <fill>
                <patternFill>
                  <bgColor theme="1"/>
                </patternFill>
              </fill>
            </x14:dxf>
          </x14:cfRule>
          <xm:sqref>B46</xm:sqref>
        </x14:conditionalFormatting>
        <x14:conditionalFormatting xmlns:xm="http://schemas.microsoft.com/office/excel/2006/main">
          <x14:cfRule type="expression" priority="9" id="{893CEA03-62A7-4AF5-8A47-920EA864517D}">
            <xm:f>'классы ЭЭ и выбросы ПГ'!$D$27=1</xm:f>
            <x14:dxf>
              <fill>
                <patternFill>
                  <bgColor theme="0" tint="-0.14996795556505021"/>
                </patternFill>
              </fill>
            </x14:dxf>
          </x14:cfRule>
          <x14:cfRule type="expression" priority="18" id="{086AA6D5-E04B-43E3-9BBC-31129A81601E}">
            <xm:f>'классы ЭЭ и выбросы ПГ'!$E$27=1</xm:f>
            <x14:dxf>
              <fill>
                <patternFill>
                  <bgColor theme="1"/>
                </patternFill>
              </fill>
            </x14:dxf>
          </x14:cfRule>
          <xm:sqref>B39</xm:sqref>
        </x14:conditionalFormatting>
        <x14:conditionalFormatting xmlns:xm="http://schemas.microsoft.com/office/excel/2006/main">
          <x14:cfRule type="expression" priority="8" id="{8EE16D87-B81F-4A4A-868E-FEF89D89D019}">
            <xm:f>'классы ЭЭ и выбросы ПГ'!$D$28=1</xm:f>
            <x14:dxf>
              <fill>
                <patternFill>
                  <bgColor theme="0" tint="-0.14996795556505021"/>
                </patternFill>
              </fill>
            </x14:dxf>
          </x14:cfRule>
          <x14:cfRule type="expression" priority="17" id="{F81BA8AE-9512-4FB9-9256-8CDB6876ECC4}">
            <xm:f>'классы ЭЭ и выбросы ПГ'!$E$28=1</xm:f>
            <x14:dxf>
              <fill>
                <patternFill>
                  <bgColor theme="1"/>
                </patternFill>
              </fill>
            </x14:dxf>
          </x14:cfRule>
          <xm:sqref>B40</xm:sqref>
        </x14:conditionalFormatting>
        <x14:conditionalFormatting xmlns:xm="http://schemas.microsoft.com/office/excel/2006/main">
          <x14:cfRule type="expression" priority="7" id="{7A888172-8B9F-467F-BBB3-E16156B60633}">
            <xm:f>'классы ЭЭ и выбросы ПГ'!$D$29=1</xm:f>
            <x14:dxf>
              <fill>
                <patternFill>
                  <bgColor theme="0" tint="-0.14996795556505021"/>
                </patternFill>
              </fill>
            </x14:dxf>
          </x14:cfRule>
          <x14:cfRule type="expression" priority="16" id="{799E0C32-728B-4452-84BD-1BFC55EF65AD}">
            <xm:f>'классы ЭЭ и выбросы ПГ'!$E$29=1</xm:f>
            <x14:dxf>
              <fill>
                <patternFill>
                  <bgColor theme="1"/>
                </patternFill>
              </fill>
            </x14:dxf>
          </x14:cfRule>
          <xm:sqref>B41</xm:sqref>
        </x14:conditionalFormatting>
        <x14:conditionalFormatting xmlns:xm="http://schemas.microsoft.com/office/excel/2006/main">
          <x14:cfRule type="expression" priority="6" id="{0A68A5C3-F4F4-44AE-A5F7-81430D8B56D8}">
            <xm:f>'классы ЭЭ и выбросы ПГ'!$D$30=1</xm:f>
            <x14:dxf>
              <fill>
                <patternFill>
                  <bgColor theme="0" tint="-0.14996795556505021"/>
                </patternFill>
              </fill>
            </x14:dxf>
          </x14:cfRule>
          <x14:cfRule type="expression" priority="15" id="{FD12880A-5155-4B3B-8275-B7CF7DF4C0CE}">
            <xm:f>'классы ЭЭ и выбросы ПГ'!$E$30=1</xm:f>
            <x14:dxf>
              <fill>
                <patternFill>
                  <bgColor theme="1"/>
                </patternFill>
              </fill>
            </x14:dxf>
          </x14:cfRule>
          <xm:sqref>B42</xm:sqref>
        </x14:conditionalFormatting>
        <x14:conditionalFormatting xmlns:xm="http://schemas.microsoft.com/office/excel/2006/main">
          <x14:cfRule type="expression" priority="5" id="{E972C057-37B3-4411-96A5-A1DC3D8E767D}">
            <xm:f>'классы ЭЭ и выбросы ПГ'!$D$31=1</xm:f>
            <x14:dxf>
              <fill>
                <patternFill>
                  <bgColor theme="0" tint="-0.14996795556505021"/>
                </patternFill>
              </fill>
            </x14:dxf>
          </x14:cfRule>
          <x14:cfRule type="expression" priority="14" id="{45632A66-C2A3-4520-8747-51AECB7D16BE}">
            <xm:f>'классы ЭЭ и выбросы ПГ'!$E$31=1</xm:f>
            <x14:dxf>
              <fill>
                <patternFill>
                  <bgColor theme="1"/>
                </patternFill>
              </fill>
            </x14:dxf>
          </x14:cfRule>
          <xm:sqref>B43</xm:sqref>
        </x14:conditionalFormatting>
        <x14:conditionalFormatting xmlns:xm="http://schemas.microsoft.com/office/excel/2006/main">
          <x14:cfRule type="expression" priority="4" id="{7CDA8D81-7D6E-418C-8A96-996DE2A88750}">
            <xm:f>'классы ЭЭ и выбросы ПГ'!$D$32=1</xm:f>
            <x14:dxf>
              <fill>
                <patternFill>
                  <bgColor theme="0" tint="-0.14996795556505021"/>
                </patternFill>
              </fill>
            </x14:dxf>
          </x14:cfRule>
          <x14:cfRule type="expression" priority="13" id="{B8103A05-FEAB-490A-BCA3-6F55E3726EFA}">
            <xm:f>'классы ЭЭ и выбросы ПГ'!$E$32=1</xm:f>
            <x14:dxf>
              <fill>
                <patternFill>
                  <bgColor theme="1"/>
                </patternFill>
              </fill>
            </x14:dxf>
          </x14:cfRule>
          <xm:sqref>B44</xm:sqref>
        </x14:conditionalFormatting>
        <x14:conditionalFormatting xmlns:xm="http://schemas.microsoft.com/office/excel/2006/main">
          <x14:cfRule type="expression" priority="3" id="{208DC700-3EB1-4E55-BEA6-4D85CC432D78}">
            <xm:f>'классы ЭЭ и выбросы ПГ'!$D$33=1</xm:f>
            <x14:dxf>
              <fill>
                <patternFill>
                  <bgColor theme="0" tint="-0.14996795556505021"/>
                </patternFill>
              </fill>
            </x14:dxf>
          </x14:cfRule>
          <x14:cfRule type="expression" priority="12" id="{7BE696A6-279C-4CDD-BAEE-63E641CA3638}">
            <xm:f>'классы ЭЭ и выбросы ПГ'!$E$33=1</xm:f>
            <x14:dxf>
              <fill>
                <patternFill>
                  <bgColor theme="1"/>
                </patternFill>
              </fill>
            </x14:dxf>
          </x14:cfRule>
          <xm:sqref>B45</xm:sqref>
        </x14:conditionalFormatting>
        <x14:conditionalFormatting xmlns:xm="http://schemas.microsoft.com/office/excel/2006/main">
          <x14:cfRule type="expression" priority="320" id="{05201C23-D228-4FF4-9AE6-CEDA5A1A1E36}">
            <xm:f>'классы ЭЭ и выбросы ПГ'!$D$35=1</xm:f>
            <x14:dxf>
              <fill>
                <patternFill>
                  <bgColor theme="0" tint="-0.14996795556505021"/>
                </patternFill>
              </fill>
            </x14:dxf>
          </x14:cfRule>
          <x14:cfRule type="expression" priority="321" id="{DDCFE43C-4174-4648-9DAE-BF765A98B6E5}">
            <xm:f>'классы ЭЭ и выбросы ПГ'!$E$35=1</xm:f>
            <x14:dxf>
              <fill>
                <patternFill>
                  <bgColor theme="1"/>
                </patternFill>
              </fill>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90" zoomScaleNormal="90" zoomScaleSheetLayoutView="85" workbookViewId="0">
      <pane ySplit="1" topLeftCell="A180" activePane="bottomLeft" state="frozen"/>
      <selection pane="bottomLeft" activeCell="L197" sqref="L197"/>
    </sheetView>
  </sheetViews>
  <sheetFormatPr defaultColWidth="0" defaultRowHeight="15" zeroHeight="1" x14ac:dyDescent="0.25"/>
  <cols>
    <col min="1" max="1" width="2.7109375" style="1536" customWidth="1"/>
    <col min="2" max="2" width="5" style="1686" customWidth="1"/>
    <col min="3" max="3" width="28.5703125" style="1687" customWidth="1"/>
    <col min="4" max="4" width="14.28515625" style="1688" customWidth="1"/>
    <col min="5" max="6" width="14.28515625" style="1686" customWidth="1"/>
    <col min="7" max="7" width="14.28515625" style="1688" customWidth="1"/>
    <col min="8" max="15" width="14.28515625" style="1536" customWidth="1"/>
    <col min="16" max="16" width="9.140625" style="1536" customWidth="1"/>
    <col min="17" max="29" width="0" style="1536" hidden="1" customWidth="1"/>
    <col min="30" max="16384" width="9.140625" style="1536" hidden="1"/>
  </cols>
  <sheetData>
    <row r="1" spans="1:29" s="1710" customFormat="1" ht="15" customHeight="1" x14ac:dyDescent="0.2">
      <c r="A1" s="22"/>
      <c r="B1" s="2174" t="s">
        <v>2501</v>
      </c>
      <c r="C1" s="2174"/>
      <c r="D1" s="2174"/>
      <c r="E1" s="2174"/>
      <c r="F1" s="2394"/>
      <c r="G1" s="2394"/>
      <c r="H1" s="2394"/>
      <c r="I1" s="2394"/>
      <c r="J1" s="2394"/>
      <c r="K1" s="2174" t="s">
        <v>1570</v>
      </c>
      <c r="L1" s="2174"/>
      <c r="M1" s="2174"/>
      <c r="N1" s="2174"/>
      <c r="O1" s="2174"/>
      <c r="P1" s="1709"/>
      <c r="Q1" s="1709"/>
      <c r="U1" s="1709"/>
      <c r="V1" s="1709"/>
    </row>
    <row r="2" spans="1:29" x14ac:dyDescent="0.25">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row>
    <row r="3" spans="1:29" s="1681" customFormat="1" ht="110.25" customHeight="1" x14ac:dyDescent="0.25">
      <c r="A3" s="1646"/>
      <c r="B3" s="1668"/>
      <c r="C3" s="2303"/>
      <c r="D3" s="2303"/>
      <c r="E3" s="2303"/>
      <c r="F3" s="2303"/>
      <c r="G3" s="2303"/>
      <c r="H3" s="2303"/>
      <c r="I3" s="2303"/>
      <c r="J3" s="2303"/>
      <c r="K3" s="2303"/>
      <c r="L3" s="2304" t="s">
        <v>2346</v>
      </c>
      <c r="M3" s="2304"/>
      <c r="N3" s="2304"/>
      <c r="O3" s="2304"/>
      <c r="P3" s="1646"/>
      <c r="Q3" s="1646"/>
      <c r="R3" s="1646"/>
      <c r="S3" s="1646"/>
      <c r="T3" s="1646"/>
      <c r="U3" s="1646"/>
      <c r="V3" s="1646"/>
      <c r="W3" s="1646"/>
      <c r="X3" s="1646"/>
      <c r="Y3" s="1646"/>
      <c r="Z3" s="1646"/>
      <c r="AA3" s="1646"/>
      <c r="AB3" s="1646"/>
      <c r="AC3" s="1646"/>
    </row>
    <row r="4" spans="1:29" s="1681" customFormat="1" ht="31.5" customHeight="1" x14ac:dyDescent="0.25">
      <c r="A4" s="1646"/>
      <c r="B4" s="1647"/>
      <c r="C4" s="2305" t="s">
        <v>2163</v>
      </c>
      <c r="D4" s="2305"/>
      <c r="E4" s="2305"/>
      <c r="F4" s="2305"/>
      <c r="G4" s="2305"/>
      <c r="H4" s="2305"/>
      <c r="I4" s="2305"/>
      <c r="J4" s="2305"/>
      <c r="K4" s="2305"/>
      <c r="L4" s="2306"/>
      <c r="M4" s="2306"/>
      <c r="N4" s="2306"/>
      <c r="O4" s="2306"/>
      <c r="P4" s="1646"/>
      <c r="Q4" s="1646"/>
      <c r="R4" s="1646"/>
      <c r="S4" s="1646"/>
      <c r="T4" s="1646"/>
      <c r="U4" s="1646"/>
      <c r="V4" s="1646"/>
      <c r="W4" s="1646"/>
      <c r="X4" s="1646"/>
      <c r="Y4" s="1646"/>
      <c r="Z4" s="1646"/>
      <c r="AA4" s="1646"/>
      <c r="AB4" s="1646"/>
      <c r="AC4" s="1646"/>
    </row>
    <row r="5" spans="1:29" s="1681" customFormat="1" ht="31.5" customHeight="1" x14ac:dyDescent="0.25">
      <c r="A5" s="1646"/>
      <c r="B5" s="2311" t="s">
        <v>2164</v>
      </c>
      <c r="C5" s="2312"/>
      <c r="D5" s="2312"/>
      <c r="E5" s="2312"/>
      <c r="F5" s="2312"/>
      <c r="G5" s="2312"/>
      <c r="H5" s="2312"/>
      <c r="I5" s="2312"/>
      <c r="J5" s="2312"/>
      <c r="K5" s="2312"/>
      <c r="L5" s="2312"/>
      <c r="M5" s="2312"/>
      <c r="N5" s="2312"/>
      <c r="O5" s="2313"/>
      <c r="P5" s="1646"/>
      <c r="Q5" s="1646"/>
      <c r="R5" s="1646"/>
      <c r="S5" s="1646"/>
      <c r="T5" s="1646"/>
      <c r="U5" s="1646"/>
      <c r="V5" s="1646"/>
      <c r="W5" s="1646"/>
      <c r="X5" s="1646"/>
      <c r="Y5" s="1646"/>
      <c r="Z5" s="1646"/>
      <c r="AA5" s="1646"/>
      <c r="AB5" s="1646"/>
      <c r="AC5" s="1646"/>
    </row>
    <row r="6" spans="1:29" s="1681" customFormat="1" ht="31.5" customHeight="1" x14ac:dyDescent="0.25">
      <c r="A6" s="1646"/>
      <c r="B6" s="1667" t="s">
        <v>2147</v>
      </c>
      <c r="C6" s="2307" t="s">
        <v>829</v>
      </c>
      <c r="D6" s="2307"/>
      <c r="E6" s="2307"/>
      <c r="F6" s="2307"/>
      <c r="G6" s="2307"/>
      <c r="H6" s="2307"/>
      <c r="I6" s="2307"/>
      <c r="J6" s="2307"/>
      <c r="K6" s="2307"/>
      <c r="L6" s="1667" t="s">
        <v>2165</v>
      </c>
      <c r="M6" s="2308" t="s">
        <v>862</v>
      </c>
      <c r="N6" s="2309"/>
      <c r="O6" s="2310"/>
      <c r="P6" s="1646"/>
      <c r="Q6" s="1646"/>
      <c r="R6" s="1646"/>
      <c r="S6" s="1646"/>
      <c r="T6" s="1646"/>
      <c r="U6" s="1646"/>
      <c r="V6" s="1646"/>
      <c r="W6" s="1646"/>
      <c r="X6" s="1646"/>
      <c r="Y6" s="1646"/>
      <c r="Z6" s="1646"/>
      <c r="AA6" s="1646"/>
      <c r="AB6" s="1646"/>
      <c r="AC6" s="1646"/>
    </row>
    <row r="7" spans="1:29" x14ac:dyDescent="0.25">
      <c r="A7" s="264"/>
      <c r="B7" s="1663">
        <v>1</v>
      </c>
      <c r="C7" s="2314" t="s">
        <v>1708</v>
      </c>
      <c r="D7" s="2314"/>
      <c r="E7" s="2314"/>
      <c r="F7" s="2314"/>
      <c r="G7" s="2314"/>
      <c r="H7" s="2314"/>
      <c r="I7" s="2314"/>
      <c r="J7" s="2314"/>
      <c r="K7" s="2314"/>
      <c r="L7" s="1663" t="s">
        <v>746</v>
      </c>
      <c r="M7" s="2315" t="str">
        <f>IF(OR(ISBLANK('Ввод исходных данных'!$D$9),ISBLANK('Ввод исходных данных'!$D$11)),"-",'Ввод исходных данных'!$D$11&amp;", "&amp;'Ввод исходных данных'!$D$9)</f>
        <v>Пермь, Пермский край, Город Пермь, Новые Ляды, Мира, д.17а</v>
      </c>
      <c r="N7" s="2316"/>
      <c r="O7" s="2317"/>
      <c r="P7" s="264"/>
      <c r="Q7" s="264"/>
      <c r="R7" s="264"/>
      <c r="S7" s="264"/>
      <c r="T7" s="264"/>
      <c r="U7" s="264"/>
      <c r="V7" s="264"/>
      <c r="W7" s="264"/>
      <c r="X7" s="264"/>
      <c r="Y7" s="264"/>
      <c r="Z7" s="264"/>
      <c r="AA7" s="264"/>
      <c r="AB7" s="264"/>
      <c r="AC7" s="264"/>
    </row>
    <row r="8" spans="1:29" x14ac:dyDescent="0.25">
      <c r="A8" s="264"/>
      <c r="B8" s="1666">
        <v>2</v>
      </c>
      <c r="C8" s="2314" t="s">
        <v>805</v>
      </c>
      <c r="D8" s="2314"/>
      <c r="E8" s="2314"/>
      <c r="F8" s="2314"/>
      <c r="G8" s="2314"/>
      <c r="H8" s="2314"/>
      <c r="I8" s="2314"/>
      <c r="J8" s="2314"/>
      <c r="K8" s="2314"/>
      <c r="L8" s="1666" t="s">
        <v>746</v>
      </c>
      <c r="M8" s="2315">
        <f>IF(ISBLANK('Ввод исходных данных'!$D$12),"-",'Ввод исходных данных'!$D$12)</f>
        <v>1984</v>
      </c>
      <c r="N8" s="2316"/>
      <c r="O8" s="2317"/>
      <c r="P8" s="264"/>
      <c r="Q8" s="264"/>
      <c r="R8" s="264"/>
      <c r="S8" s="264"/>
      <c r="T8" s="264"/>
      <c r="U8" s="264"/>
      <c r="V8" s="264"/>
      <c r="W8" s="264"/>
      <c r="X8" s="264"/>
      <c r="Y8" s="264"/>
      <c r="Z8" s="264"/>
      <c r="AA8" s="264"/>
      <c r="AB8" s="264"/>
      <c r="AC8" s="264"/>
    </row>
    <row r="9" spans="1:29" ht="14.25" customHeight="1" x14ac:dyDescent="0.25">
      <c r="A9" s="264"/>
      <c r="B9" s="1666">
        <v>3</v>
      </c>
      <c r="C9" s="2314" t="s">
        <v>2166</v>
      </c>
      <c r="D9" s="2314"/>
      <c r="E9" s="2314"/>
      <c r="F9" s="2314"/>
      <c r="G9" s="2314"/>
      <c r="H9" s="2314"/>
      <c r="I9" s="2314"/>
      <c r="J9" s="2314"/>
      <c r="K9" s="2314"/>
      <c r="L9" s="1666" t="s">
        <v>746</v>
      </c>
      <c r="M9" s="2315" t="str">
        <f>IF(ISBLANK('Ввод исходных данных'!$D$13),"-",'Ввод исходных данных'!$D$13)</f>
        <v>до 1995 г.</v>
      </c>
      <c r="N9" s="2316"/>
      <c r="O9" s="2317"/>
      <c r="P9" s="264"/>
      <c r="Q9" s="264"/>
      <c r="R9" s="264"/>
      <c r="S9" s="264"/>
      <c r="T9" s="264"/>
      <c r="U9" s="264"/>
      <c r="V9" s="264"/>
      <c r="W9" s="264"/>
      <c r="X9" s="264"/>
      <c r="Y9" s="264"/>
      <c r="Z9" s="264"/>
      <c r="AA9" s="264"/>
      <c r="AB9" s="264"/>
      <c r="AC9" s="264"/>
    </row>
    <row r="10" spans="1:29" x14ac:dyDescent="0.25">
      <c r="A10" s="264"/>
      <c r="B10" s="1666">
        <v>4</v>
      </c>
      <c r="C10" s="2314" t="s">
        <v>756</v>
      </c>
      <c r="D10" s="2314"/>
      <c r="E10" s="2314"/>
      <c r="F10" s="2314"/>
      <c r="G10" s="2314"/>
      <c r="H10" s="2314"/>
      <c r="I10" s="2314"/>
      <c r="J10" s="2314"/>
      <c r="K10" s="2314"/>
      <c r="L10" s="1666" t="s">
        <v>746</v>
      </c>
      <c r="M10" s="2315" t="str">
        <f>IF(ISBLANK('Ввод исходных данных'!$D$14),"-",'Ввод исходных данных'!$D$14)</f>
        <v>Нет в списке</v>
      </c>
      <c r="N10" s="2316"/>
      <c r="O10" s="2317"/>
      <c r="P10" s="264"/>
      <c r="Q10" s="264"/>
      <c r="R10" s="264"/>
      <c r="S10" s="264"/>
      <c r="T10" s="264"/>
      <c r="U10" s="264"/>
      <c r="V10" s="264"/>
      <c r="W10" s="264"/>
      <c r="X10" s="264"/>
      <c r="Y10" s="264"/>
      <c r="Z10" s="264"/>
      <c r="AA10" s="264"/>
      <c r="AB10" s="264"/>
      <c r="AC10" s="264"/>
    </row>
    <row r="11" spans="1:29" ht="15" customHeight="1" x14ac:dyDescent="0.25">
      <c r="A11" s="264"/>
      <c r="B11" s="1666">
        <v>5</v>
      </c>
      <c r="C11" s="2314" t="s">
        <v>1150</v>
      </c>
      <c r="D11" s="2314"/>
      <c r="E11" s="2314"/>
      <c r="F11" s="2314"/>
      <c r="G11" s="2314"/>
      <c r="H11" s="2314"/>
      <c r="I11" s="2314"/>
      <c r="J11" s="2314"/>
      <c r="K11" s="2314"/>
      <c r="L11" s="1666" t="s">
        <v>746</v>
      </c>
      <c r="M11" s="2315" t="str">
        <f>IF(ISBLANK('Ввод исходных данных'!$D$16),"-",'Ввод исходных данных'!$D$16)</f>
        <v>железобетонная панель</v>
      </c>
      <c r="N11" s="2316"/>
      <c r="O11" s="2317"/>
      <c r="P11" s="264"/>
      <c r="Q11" s="264"/>
      <c r="R11" s="264"/>
      <c r="S11" s="264"/>
      <c r="T11" s="264"/>
      <c r="U11" s="264"/>
      <c r="V11" s="264"/>
      <c r="W11" s="264"/>
      <c r="X11" s="264"/>
      <c r="Y11" s="264"/>
      <c r="Z11" s="264"/>
      <c r="AA11" s="264"/>
      <c r="AB11" s="264"/>
      <c r="AC11" s="264"/>
    </row>
    <row r="12" spans="1:29" ht="15" customHeight="1" x14ac:dyDescent="0.25">
      <c r="A12" s="264"/>
      <c r="B12" s="1666">
        <v>6</v>
      </c>
      <c r="C12" s="2318" t="s">
        <v>2167</v>
      </c>
      <c r="D12" s="2318"/>
      <c r="E12" s="2318"/>
      <c r="F12" s="2318"/>
      <c r="G12" s="2318"/>
      <c r="H12" s="2318"/>
      <c r="I12" s="2318"/>
      <c r="J12" s="2318"/>
      <c r="K12" s="2318"/>
      <c r="L12" s="1682" t="s">
        <v>1768</v>
      </c>
      <c r="M12" s="2315">
        <f>IF(ISBLANK('Ввод исходных данных'!$D$17),"-",'Ввод исходных данных'!$D$17)</f>
        <v>6</v>
      </c>
      <c r="N12" s="2316"/>
      <c r="O12" s="2317"/>
      <c r="P12" s="264"/>
      <c r="Q12" s="264"/>
      <c r="R12" s="264"/>
      <c r="S12" s="264"/>
      <c r="T12" s="264"/>
      <c r="U12" s="264"/>
      <c r="V12" s="264"/>
      <c r="W12" s="264"/>
      <c r="X12" s="264"/>
      <c r="Y12" s="264"/>
      <c r="Z12" s="264"/>
      <c r="AA12" s="264"/>
      <c r="AB12" s="264"/>
      <c r="AC12" s="264"/>
    </row>
    <row r="13" spans="1:29" ht="15" customHeight="1" x14ac:dyDescent="0.25">
      <c r="A13" s="264"/>
      <c r="B13" s="1666">
        <v>7</v>
      </c>
      <c r="C13" s="2314" t="s">
        <v>2168</v>
      </c>
      <c r="D13" s="2314"/>
      <c r="E13" s="2318" t="s">
        <v>2169</v>
      </c>
      <c r="F13" s="2318"/>
      <c r="G13" s="2318"/>
      <c r="H13" s="2318"/>
      <c r="I13" s="2318"/>
      <c r="J13" s="2318"/>
      <c r="K13" s="2318"/>
      <c r="L13" s="1682" t="s">
        <v>1768</v>
      </c>
      <c r="M13" s="2315">
        <f>IF(ISBLANK('Ввод исходных данных'!$D$19),"-",'Ввод исходных данных'!$D$19)</f>
        <v>5</v>
      </c>
      <c r="N13" s="2316"/>
      <c r="O13" s="2317"/>
      <c r="P13" s="264"/>
      <c r="Q13" s="264"/>
      <c r="R13" s="264"/>
      <c r="S13" s="264"/>
      <c r="T13" s="264"/>
      <c r="U13" s="264"/>
      <c r="V13" s="264"/>
      <c r="W13" s="264"/>
      <c r="X13" s="264"/>
      <c r="Y13" s="264"/>
      <c r="Z13" s="264"/>
      <c r="AA13" s="264"/>
      <c r="AB13" s="264"/>
      <c r="AC13" s="264"/>
    </row>
    <row r="14" spans="1:29" ht="15" customHeight="1" x14ac:dyDescent="0.25">
      <c r="A14" s="264"/>
      <c r="B14" s="1666">
        <v>8</v>
      </c>
      <c r="C14" s="2314"/>
      <c r="D14" s="2314"/>
      <c r="E14" s="2314" t="s">
        <v>2170</v>
      </c>
      <c r="F14" s="2314"/>
      <c r="G14" s="2314"/>
      <c r="H14" s="2314"/>
      <c r="I14" s="2314"/>
      <c r="J14" s="2314"/>
      <c r="K14" s="2314"/>
      <c r="L14" s="1663" t="s">
        <v>2171</v>
      </c>
      <c r="M14" s="2315" t="str">
        <f>IF(списки!$C$40,"да","нет")</f>
        <v>нет</v>
      </c>
      <c r="N14" s="2316"/>
      <c r="O14" s="2317"/>
      <c r="P14" s="264"/>
      <c r="Q14" s="264"/>
      <c r="R14" s="264"/>
      <c r="S14" s="264"/>
      <c r="T14" s="264"/>
      <c r="U14" s="264"/>
      <c r="V14" s="264"/>
      <c r="W14" s="264"/>
      <c r="X14" s="264"/>
      <c r="Y14" s="264"/>
      <c r="Z14" s="264"/>
      <c r="AA14" s="264"/>
      <c r="AB14" s="264"/>
      <c r="AC14" s="264"/>
    </row>
    <row r="15" spans="1:29" x14ac:dyDescent="0.25">
      <c r="A15" s="264"/>
      <c r="B15" s="1666">
        <v>9</v>
      </c>
      <c r="C15" s="2314" t="s">
        <v>2172</v>
      </c>
      <c r="D15" s="2314"/>
      <c r="E15" s="2319" t="s">
        <v>1291</v>
      </c>
      <c r="F15" s="2319"/>
      <c r="G15" s="2319"/>
      <c r="H15" s="2319"/>
      <c r="I15" s="2319"/>
      <c r="J15" s="2319"/>
      <c r="K15" s="2319"/>
      <c r="L15" s="1682" t="s">
        <v>1768</v>
      </c>
      <c r="M15" s="2315">
        <f>IF(ISBLANK('Ввод исходных данных'!$D$20),"-",'Ввод исходных данных'!$D$20)</f>
        <v>87</v>
      </c>
      <c r="N15" s="2316"/>
      <c r="O15" s="2317"/>
      <c r="P15" s="264"/>
      <c r="Q15" s="264"/>
      <c r="R15" s="264"/>
      <c r="S15" s="264"/>
      <c r="T15" s="264"/>
      <c r="U15" s="264"/>
      <c r="V15" s="264"/>
      <c r="W15" s="264"/>
      <c r="X15" s="264"/>
      <c r="Y15" s="264"/>
      <c r="Z15" s="264"/>
      <c r="AA15" s="264"/>
      <c r="AB15" s="264"/>
      <c r="AC15" s="264"/>
    </row>
    <row r="16" spans="1:29" ht="15" customHeight="1" x14ac:dyDescent="0.25">
      <c r="A16" s="264"/>
      <c r="B16" s="1666">
        <v>10</v>
      </c>
      <c r="C16" s="2314"/>
      <c r="D16" s="2314"/>
      <c r="E16" s="2320" t="s">
        <v>2173</v>
      </c>
      <c r="F16" s="2320"/>
      <c r="G16" s="2320"/>
      <c r="H16" s="2320"/>
      <c r="I16" s="2320"/>
      <c r="J16" s="2320"/>
      <c r="K16" s="2320"/>
      <c r="L16" s="1682" t="s">
        <v>1768</v>
      </c>
      <c r="M16" s="2315">
        <f>IF(ISBLANK('Ввод исходных данных'!$D$21),"-",'Ввод исходных данных'!$D$21)</f>
        <v>83</v>
      </c>
      <c r="N16" s="2316"/>
      <c r="O16" s="2317"/>
      <c r="P16" s="264"/>
      <c r="Q16" s="264"/>
      <c r="R16" s="264"/>
      <c r="S16" s="264"/>
      <c r="T16" s="264"/>
      <c r="U16" s="264"/>
      <c r="V16" s="264"/>
      <c r="W16" s="264"/>
      <c r="X16" s="264"/>
      <c r="Y16" s="264"/>
      <c r="Z16" s="264"/>
      <c r="AA16" s="264"/>
      <c r="AB16" s="264"/>
      <c r="AC16" s="264"/>
    </row>
    <row r="17" spans="1:29" ht="15" customHeight="1" x14ac:dyDescent="0.25">
      <c r="A17" s="264"/>
      <c r="B17" s="1666">
        <v>11</v>
      </c>
      <c r="C17" s="2314" t="s">
        <v>2174</v>
      </c>
      <c r="D17" s="2314"/>
      <c r="E17" s="2314"/>
      <c r="F17" s="2314"/>
      <c r="G17" s="2314"/>
      <c r="H17" s="2314"/>
      <c r="I17" s="2314"/>
      <c r="J17" s="2314"/>
      <c r="K17" s="2314"/>
      <c r="L17" s="1666" t="s">
        <v>2175</v>
      </c>
      <c r="M17" s="2315">
        <f>IF(ISBLANK('Ввод исходных данных'!$D$22),"-",'Ввод исходных данных'!$D$22)</f>
        <v>246</v>
      </c>
      <c r="N17" s="2316"/>
      <c r="O17" s="2317"/>
      <c r="P17" s="264"/>
      <c r="Q17" s="264"/>
      <c r="R17" s="264"/>
      <c r="S17" s="264"/>
      <c r="T17" s="264"/>
      <c r="U17" s="264"/>
      <c r="V17" s="264"/>
      <c r="W17" s="264"/>
      <c r="X17" s="264"/>
      <c r="Y17" s="264"/>
      <c r="Z17" s="264"/>
      <c r="AA17" s="264"/>
      <c r="AB17" s="264"/>
      <c r="AC17" s="264"/>
    </row>
    <row r="18" spans="1:29" x14ac:dyDescent="0.25">
      <c r="A18" s="264"/>
      <c r="B18" s="1666">
        <v>12</v>
      </c>
      <c r="C18" s="2318" t="s">
        <v>2176</v>
      </c>
      <c r="D18" s="2318"/>
      <c r="E18" s="2318" t="s">
        <v>1291</v>
      </c>
      <c r="F18" s="2318"/>
      <c r="G18" s="2318"/>
      <c r="H18" s="2318"/>
      <c r="I18" s="2318"/>
      <c r="J18" s="2318"/>
      <c r="K18" s="2318"/>
      <c r="L18" s="1682" t="s">
        <v>2177</v>
      </c>
      <c r="M18" s="2315">
        <f>IF(ISBLANK('Ввод исходных данных'!$D$23),"-",'Ввод исходных данных'!$D$23)</f>
        <v>188.7</v>
      </c>
      <c r="N18" s="2316"/>
      <c r="O18" s="2317"/>
      <c r="P18" s="264"/>
      <c r="Q18" s="264"/>
      <c r="R18" s="264"/>
      <c r="S18" s="264"/>
      <c r="T18" s="264"/>
      <c r="U18" s="264"/>
      <c r="V18" s="264"/>
      <c r="W18" s="264"/>
      <c r="X18" s="264"/>
      <c r="Y18" s="264"/>
      <c r="Z18" s="264"/>
      <c r="AA18" s="264"/>
      <c r="AB18" s="264"/>
      <c r="AC18" s="264"/>
    </row>
    <row r="19" spans="1:29" ht="15" customHeight="1" x14ac:dyDescent="0.25">
      <c r="A19" s="264"/>
      <c r="B19" s="1666">
        <v>13</v>
      </c>
      <c r="C19" s="2318"/>
      <c r="D19" s="2318"/>
      <c r="E19" s="2324" t="s">
        <v>2178</v>
      </c>
      <c r="F19" s="2324"/>
      <c r="G19" s="2324"/>
      <c r="H19" s="2324"/>
      <c r="I19" s="2324"/>
      <c r="J19" s="2324"/>
      <c r="K19" s="2324"/>
      <c r="L19" s="1663" t="s">
        <v>2177</v>
      </c>
      <c r="M19" s="2315">
        <f>IF(ISBLANK('Ввод исходных данных'!$D$24),"-",'Ввод исходных данных'!$D$24)</f>
        <v>0</v>
      </c>
      <c r="N19" s="2316"/>
      <c r="O19" s="2317"/>
      <c r="P19" s="264"/>
      <c r="Q19" s="264"/>
      <c r="R19" s="264"/>
      <c r="S19" s="264"/>
      <c r="T19" s="264"/>
      <c r="U19" s="264"/>
      <c r="V19" s="264"/>
      <c r="W19" s="264"/>
      <c r="X19" s="264"/>
      <c r="Y19" s="264"/>
      <c r="Z19" s="264"/>
      <c r="AA19" s="264"/>
      <c r="AB19" s="264"/>
      <c r="AC19" s="264"/>
    </row>
    <row r="20" spans="1:29" ht="15" customHeight="1" x14ac:dyDescent="0.25">
      <c r="A20" s="264"/>
      <c r="B20" s="1666">
        <v>14</v>
      </c>
      <c r="C20" s="2318"/>
      <c r="D20" s="2318"/>
      <c r="E20" s="2324" t="s">
        <v>2179</v>
      </c>
      <c r="F20" s="2324"/>
      <c r="G20" s="2324"/>
      <c r="H20" s="2324"/>
      <c r="I20" s="2324"/>
      <c r="J20" s="2324"/>
      <c r="K20" s="2324"/>
      <c r="L20" s="1663" t="s">
        <v>2177</v>
      </c>
      <c r="M20" s="2315">
        <f>IF(ISBLANK('Ввод исходных данных'!$D$25),"-",'Ввод исходных данных'!$D$25)</f>
        <v>157.4</v>
      </c>
      <c r="N20" s="2316"/>
      <c r="O20" s="2317"/>
      <c r="P20" s="264"/>
      <c r="Q20" s="264"/>
      <c r="R20" s="264"/>
      <c r="S20" s="264"/>
      <c r="T20" s="264"/>
      <c r="U20" s="264"/>
      <c r="V20" s="264"/>
      <c r="W20" s="264"/>
      <c r="X20" s="264"/>
      <c r="Y20" s="264"/>
      <c r="Z20" s="264"/>
      <c r="AA20" s="264"/>
      <c r="AB20" s="264"/>
      <c r="AC20" s="264"/>
    </row>
    <row r="21" spans="1:29" ht="15" customHeight="1" x14ac:dyDescent="0.25">
      <c r="A21" s="264"/>
      <c r="B21" s="1666">
        <v>15</v>
      </c>
      <c r="C21" s="2318"/>
      <c r="D21" s="2318"/>
      <c r="E21" s="2324" t="s">
        <v>2180</v>
      </c>
      <c r="F21" s="2324"/>
      <c r="G21" s="2324"/>
      <c r="H21" s="2324"/>
      <c r="I21" s="2324"/>
      <c r="J21" s="2324"/>
      <c r="K21" s="2324"/>
      <c r="L21" s="1663" t="s">
        <v>2177</v>
      </c>
      <c r="M21" s="2315">
        <f>IF(ISBLANK('Ввод исходных данных'!$D$26),"-",'Ввод исходных данных'!$D$26)</f>
        <v>188.7</v>
      </c>
      <c r="N21" s="2316"/>
      <c r="O21" s="2317"/>
      <c r="P21" s="264"/>
      <c r="Q21" s="264"/>
      <c r="R21" s="264"/>
      <c r="S21" s="264"/>
      <c r="T21" s="264"/>
      <c r="U21" s="264"/>
      <c r="V21" s="264"/>
      <c r="W21" s="264"/>
      <c r="X21" s="264"/>
      <c r="Y21" s="264"/>
      <c r="Z21" s="264"/>
      <c r="AA21" s="264"/>
      <c r="AB21" s="264"/>
      <c r="AC21" s="264"/>
    </row>
    <row r="22" spans="1:29" x14ac:dyDescent="0.25">
      <c r="A22" s="264"/>
      <c r="B22" s="1666">
        <v>16</v>
      </c>
      <c r="C22" s="2314" t="s">
        <v>519</v>
      </c>
      <c r="D22" s="2314"/>
      <c r="E22" s="2319" t="s">
        <v>2181</v>
      </c>
      <c r="F22" s="2319"/>
      <c r="G22" s="2319"/>
      <c r="H22" s="2319"/>
      <c r="I22" s="2319"/>
      <c r="J22" s="2319"/>
      <c r="K22" s="2319"/>
      <c r="L22" s="1663" t="s">
        <v>2171</v>
      </c>
      <c r="M22" s="2321" t="str">
        <f>IF(списки!$C$31,"да","нет")</f>
        <v>нет</v>
      </c>
      <c r="N22" s="2322"/>
      <c r="O22" s="2323"/>
      <c r="P22" s="264"/>
      <c r="Q22" s="264"/>
      <c r="R22" s="264"/>
      <c r="S22" s="264"/>
      <c r="T22" s="264"/>
      <c r="U22" s="264"/>
      <c r="V22" s="264"/>
      <c r="W22" s="264"/>
      <c r="X22" s="264"/>
      <c r="Y22" s="264"/>
      <c r="Z22" s="264"/>
      <c r="AA22" s="264"/>
      <c r="AB22" s="264"/>
      <c r="AC22" s="264"/>
    </row>
    <row r="23" spans="1:29" x14ac:dyDescent="0.25">
      <c r="A23" s="264"/>
      <c r="B23" s="1666">
        <v>17</v>
      </c>
      <c r="C23" s="2314"/>
      <c r="D23" s="2314"/>
      <c r="E23" s="2319" t="s">
        <v>2182</v>
      </c>
      <c r="F23" s="2319"/>
      <c r="G23" s="2319"/>
      <c r="H23" s="2319"/>
      <c r="I23" s="2319"/>
      <c r="J23" s="2319"/>
      <c r="K23" s="2319"/>
      <c r="L23" s="1663" t="s">
        <v>2171</v>
      </c>
      <c r="M23" s="2321" t="str">
        <f>IF(списки!$C$32,"да","нет")</f>
        <v>нет</v>
      </c>
      <c r="N23" s="2322"/>
      <c r="O23" s="2323"/>
      <c r="P23" s="264"/>
      <c r="Q23" s="264"/>
      <c r="R23" s="264"/>
      <c r="S23" s="264"/>
      <c r="T23" s="264"/>
      <c r="U23" s="264"/>
      <c r="V23" s="264"/>
      <c r="W23" s="264"/>
      <c r="X23" s="264"/>
      <c r="Y23" s="264"/>
      <c r="Z23" s="264"/>
      <c r="AA23" s="264"/>
      <c r="AB23" s="264"/>
      <c r="AC23" s="264"/>
    </row>
    <row r="24" spans="1:29" x14ac:dyDescent="0.25">
      <c r="A24" s="264"/>
      <c r="B24" s="1666">
        <v>18</v>
      </c>
      <c r="C24" s="2318" t="s">
        <v>757</v>
      </c>
      <c r="D24" s="2318"/>
      <c r="E24" s="2319" t="s">
        <v>2181</v>
      </c>
      <c r="F24" s="2319"/>
      <c r="G24" s="2319"/>
      <c r="H24" s="2319"/>
      <c r="I24" s="2319"/>
      <c r="J24" s="2319"/>
      <c r="K24" s="2319"/>
      <c r="L24" s="1663" t="s">
        <v>2171</v>
      </c>
      <c r="M24" s="2325" t="str">
        <f>IF(списки!$C$33,"да","нет")</f>
        <v>да</v>
      </c>
      <c r="N24" s="2326"/>
      <c r="O24" s="2327"/>
      <c r="P24" s="264"/>
      <c r="Q24" s="264"/>
      <c r="R24" s="264"/>
      <c r="S24" s="264"/>
      <c r="T24" s="264"/>
      <c r="U24" s="264"/>
      <c r="V24" s="264"/>
      <c r="W24" s="264"/>
      <c r="X24" s="264"/>
      <c r="Y24" s="264"/>
      <c r="Z24" s="264"/>
      <c r="AA24" s="264"/>
      <c r="AB24" s="264"/>
      <c r="AC24" s="264"/>
    </row>
    <row r="25" spans="1:29" x14ac:dyDescent="0.25">
      <c r="A25" s="264"/>
      <c r="B25" s="1666">
        <v>19</v>
      </c>
      <c r="C25" s="2318"/>
      <c r="D25" s="2318"/>
      <c r="E25" s="2319" t="s">
        <v>2183</v>
      </c>
      <c r="F25" s="2319"/>
      <c r="G25" s="2319"/>
      <c r="H25" s="2319"/>
      <c r="I25" s="2319"/>
      <c r="J25" s="2319"/>
      <c r="K25" s="2319"/>
      <c r="L25" s="1663" t="s">
        <v>2171</v>
      </c>
      <c r="M25" s="2325" t="str">
        <f>IF(списки!$C$34,"да","нет")</f>
        <v>нет</v>
      </c>
      <c r="N25" s="2326"/>
      <c r="O25" s="2327"/>
      <c r="P25" s="264"/>
      <c r="Q25" s="264"/>
      <c r="R25" s="264"/>
      <c r="S25" s="264"/>
      <c r="T25" s="264"/>
      <c r="U25" s="264"/>
      <c r="V25" s="264"/>
      <c r="W25" s="264"/>
      <c r="X25" s="264"/>
      <c r="Y25" s="264"/>
      <c r="Z25" s="264"/>
      <c r="AA25" s="264"/>
      <c r="AB25" s="264"/>
      <c r="AC25" s="264"/>
    </row>
    <row r="26" spans="1:29" x14ac:dyDescent="0.25">
      <c r="A26" s="264"/>
      <c r="B26" s="1666">
        <v>20</v>
      </c>
      <c r="C26" s="2318" t="s">
        <v>2184</v>
      </c>
      <c r="D26" s="2318"/>
      <c r="E26" s="2319" t="s">
        <v>2185</v>
      </c>
      <c r="F26" s="2319"/>
      <c r="G26" s="2319"/>
      <c r="H26" s="2319"/>
      <c r="I26" s="2319"/>
      <c r="J26" s="2319"/>
      <c r="K26" s="2319"/>
      <c r="L26" s="1663" t="s">
        <v>2171</v>
      </c>
      <c r="M26" s="2325" t="str">
        <f>IF(списки!$C$35,"да","нет")</f>
        <v>да</v>
      </c>
      <c r="N26" s="2326"/>
      <c r="O26" s="2327"/>
      <c r="P26" s="264"/>
      <c r="Q26" s="264"/>
      <c r="R26" s="264"/>
      <c r="S26" s="264"/>
      <c r="T26" s="264"/>
      <c r="U26" s="264"/>
      <c r="V26" s="264"/>
      <c r="W26" s="264"/>
      <c r="X26" s="264"/>
      <c r="Y26" s="264"/>
      <c r="Z26" s="264"/>
      <c r="AA26" s="264"/>
      <c r="AB26" s="264"/>
      <c r="AC26" s="264"/>
    </row>
    <row r="27" spans="1:29" x14ac:dyDescent="0.25">
      <c r="A27" s="264"/>
      <c r="B27" s="1666">
        <v>21</v>
      </c>
      <c r="C27" s="2318"/>
      <c r="D27" s="2318"/>
      <c r="E27" s="2319" t="s">
        <v>2186</v>
      </c>
      <c r="F27" s="2319"/>
      <c r="G27" s="2319"/>
      <c r="H27" s="2319"/>
      <c r="I27" s="2319"/>
      <c r="J27" s="2319"/>
      <c r="K27" s="2319"/>
      <c r="L27" s="1663" t="s">
        <v>2171</v>
      </c>
      <c r="M27" s="2325" t="str">
        <f>IF(списки!$C$36,"да","нет")</f>
        <v>да</v>
      </c>
      <c r="N27" s="2326"/>
      <c r="O27" s="2327"/>
      <c r="P27" s="264"/>
      <c r="Q27" s="264"/>
      <c r="R27" s="264"/>
      <c r="S27" s="264"/>
      <c r="T27" s="264"/>
      <c r="U27" s="264"/>
      <c r="V27" s="264"/>
      <c r="W27" s="264"/>
      <c r="X27" s="264"/>
      <c r="Y27" s="264"/>
      <c r="Z27" s="264"/>
      <c r="AA27" s="264"/>
      <c r="AB27" s="264"/>
      <c r="AC27" s="264"/>
    </row>
    <row r="28" spans="1:29" x14ac:dyDescent="0.25">
      <c r="A28" s="264"/>
      <c r="B28" s="1666">
        <v>22</v>
      </c>
      <c r="C28" s="2318"/>
      <c r="D28" s="2318"/>
      <c r="E28" s="2319" t="s">
        <v>2187</v>
      </c>
      <c r="F28" s="2319"/>
      <c r="G28" s="2319"/>
      <c r="H28" s="2319"/>
      <c r="I28" s="2319"/>
      <c r="J28" s="2319"/>
      <c r="K28" s="2319"/>
      <c r="L28" s="1663" t="s">
        <v>2171</v>
      </c>
      <c r="M28" s="2325" t="str">
        <f>IF(списки!$C$37,"да","нет")</f>
        <v>нет</v>
      </c>
      <c r="N28" s="2326"/>
      <c r="O28" s="2327"/>
      <c r="P28" s="264"/>
      <c r="Q28" s="264"/>
      <c r="R28" s="264"/>
      <c r="S28" s="264"/>
      <c r="T28" s="264"/>
      <c r="U28" s="264"/>
      <c r="V28" s="264"/>
      <c r="W28" s="264"/>
      <c r="X28" s="264"/>
      <c r="Y28" s="264"/>
      <c r="Z28" s="264"/>
      <c r="AA28" s="264"/>
      <c r="AB28" s="264"/>
      <c r="AC28" s="264"/>
    </row>
    <row r="29" spans="1:29" x14ac:dyDescent="0.25">
      <c r="A29" s="264"/>
      <c r="B29" s="1666">
        <v>23</v>
      </c>
      <c r="C29" s="2318" t="s">
        <v>854</v>
      </c>
      <c r="D29" s="2318"/>
      <c r="E29" s="2319" t="s">
        <v>1291</v>
      </c>
      <c r="F29" s="2319"/>
      <c r="G29" s="2319"/>
      <c r="H29" s="2319"/>
      <c r="I29" s="2319"/>
      <c r="J29" s="2319"/>
      <c r="K29" s="2319"/>
      <c r="L29" s="1682" t="s">
        <v>1768</v>
      </c>
      <c r="M29" s="2315">
        <f>IF(ISBLANK('Ввод исходных данных'!$D$32),"-",'Ввод исходных данных'!$D$32)</f>
        <v>302</v>
      </c>
      <c r="N29" s="2316"/>
      <c r="O29" s="2317"/>
      <c r="P29" s="264"/>
      <c r="Q29" s="264"/>
      <c r="R29" s="264"/>
      <c r="S29" s="264"/>
      <c r="T29" s="264"/>
      <c r="U29" s="264"/>
      <c r="V29" s="264"/>
      <c r="W29" s="264"/>
      <c r="X29" s="264"/>
      <c r="Y29" s="264"/>
      <c r="Z29" s="264"/>
      <c r="AA29" s="264"/>
      <c r="AB29" s="264"/>
      <c r="AC29" s="264"/>
    </row>
    <row r="30" spans="1:29" x14ac:dyDescent="0.25">
      <c r="A30" s="264"/>
      <c r="B30" s="1666">
        <v>24</v>
      </c>
      <c r="C30" s="2318"/>
      <c r="D30" s="2318"/>
      <c r="E30" s="2332" t="s">
        <v>760</v>
      </c>
      <c r="F30" s="2332"/>
      <c r="G30" s="2332"/>
      <c r="H30" s="2332"/>
      <c r="I30" s="2332"/>
      <c r="J30" s="2332"/>
      <c r="K30" s="2332"/>
      <c r="L30" s="1682" t="s">
        <v>1768</v>
      </c>
      <c r="M30" s="2315">
        <f>IF(ISBLANK('Ввод исходных данных'!$D$33),"-",'Ввод исходных данных'!$D$33)</f>
        <v>266</v>
      </c>
      <c r="N30" s="2316"/>
      <c r="O30" s="2317"/>
      <c r="P30" s="264"/>
      <c r="Q30" s="264"/>
      <c r="R30" s="264"/>
      <c r="S30" s="264"/>
      <c r="T30" s="264"/>
      <c r="U30" s="264"/>
      <c r="V30" s="264"/>
      <c r="W30" s="264"/>
      <c r="X30" s="264"/>
      <c r="Y30" s="264"/>
      <c r="Z30" s="264"/>
      <c r="AA30" s="264"/>
      <c r="AB30" s="264"/>
      <c r="AC30" s="264"/>
    </row>
    <row r="31" spans="1:29" x14ac:dyDescent="0.25">
      <c r="A31" s="264"/>
      <c r="B31" s="1666">
        <v>25</v>
      </c>
      <c r="C31" s="2318"/>
      <c r="D31" s="2318"/>
      <c r="E31" s="2332" t="s">
        <v>761</v>
      </c>
      <c r="F31" s="2332"/>
      <c r="G31" s="2332"/>
      <c r="H31" s="2332"/>
      <c r="I31" s="2332"/>
      <c r="J31" s="2332"/>
      <c r="K31" s="2332"/>
      <c r="L31" s="1682" t="s">
        <v>1768</v>
      </c>
      <c r="M31" s="2315">
        <f>IF(ISBLANK('Ввод исходных данных'!$D$34),"-",'Ввод исходных данных'!$D$34)</f>
        <v>12</v>
      </c>
      <c r="N31" s="2316"/>
      <c r="O31" s="2317"/>
      <c r="P31" s="264"/>
      <c r="Q31" s="264"/>
      <c r="R31" s="264"/>
      <c r="S31" s="264"/>
      <c r="T31" s="264"/>
      <c r="U31" s="264"/>
      <c r="V31" s="264"/>
      <c r="W31" s="264"/>
      <c r="X31" s="264"/>
      <c r="Y31" s="264"/>
      <c r="Z31" s="264"/>
      <c r="AA31" s="264"/>
      <c r="AB31" s="264"/>
      <c r="AC31" s="264"/>
    </row>
    <row r="32" spans="1:29" x14ac:dyDescent="0.25">
      <c r="A32" s="264"/>
      <c r="B32" s="1666">
        <v>26</v>
      </c>
      <c r="C32" s="2318"/>
      <c r="D32" s="2318"/>
      <c r="E32" s="2332" t="s">
        <v>2188</v>
      </c>
      <c r="F32" s="2332"/>
      <c r="G32" s="2332"/>
      <c r="H32" s="2332"/>
      <c r="I32" s="2332"/>
      <c r="J32" s="2332"/>
      <c r="K32" s="2332"/>
      <c r="L32" s="1682" t="s">
        <v>1768</v>
      </c>
      <c r="M32" s="2315">
        <f>IF(ISBLANK('Ввод исходных данных'!$D$35),"-",'Ввод исходных данных'!$D$35)</f>
        <v>24</v>
      </c>
      <c r="N32" s="2316"/>
      <c r="O32" s="2317"/>
      <c r="P32" s="264"/>
      <c r="Q32" s="264"/>
      <c r="R32" s="264"/>
      <c r="S32" s="264"/>
      <c r="T32" s="264"/>
      <c r="U32" s="264"/>
      <c r="V32" s="264"/>
      <c r="W32" s="264"/>
      <c r="X32" s="264"/>
      <c r="Y32" s="264"/>
      <c r="Z32" s="264"/>
      <c r="AA32" s="264"/>
      <c r="AB32" s="264"/>
      <c r="AC32" s="264"/>
    </row>
    <row r="33" spans="1:29" x14ac:dyDescent="0.25">
      <c r="A33" s="264"/>
      <c r="B33" s="1666">
        <v>27</v>
      </c>
      <c r="C33" s="2318" t="s">
        <v>2189</v>
      </c>
      <c r="D33" s="2318"/>
      <c r="E33" s="2328" t="s">
        <v>2190</v>
      </c>
      <c r="F33" s="2328"/>
      <c r="G33" s="2328"/>
      <c r="H33" s="2328"/>
      <c r="I33" s="2328"/>
      <c r="J33" s="2328"/>
      <c r="K33" s="2328"/>
      <c r="L33" s="1682" t="s">
        <v>2171</v>
      </c>
      <c r="M33" s="2329" t="str">
        <f>IF(списки!$C$44,"да","нет")</f>
        <v>нет</v>
      </c>
      <c r="N33" s="2330"/>
      <c r="O33" s="2331"/>
      <c r="P33" s="264"/>
      <c r="Q33" s="264"/>
      <c r="R33" s="264"/>
      <c r="S33" s="264"/>
      <c r="T33" s="264"/>
      <c r="U33" s="264"/>
      <c r="V33" s="264"/>
      <c r="W33" s="264"/>
      <c r="X33" s="264"/>
      <c r="Y33" s="264"/>
      <c r="Z33" s="264"/>
      <c r="AA33" s="264"/>
      <c r="AB33" s="264"/>
      <c r="AC33" s="264"/>
    </row>
    <row r="34" spans="1:29" x14ac:dyDescent="0.25">
      <c r="A34" s="264"/>
      <c r="B34" s="1666">
        <v>28</v>
      </c>
      <c r="C34" s="2318"/>
      <c r="D34" s="2318"/>
      <c r="E34" s="2328" t="s">
        <v>2191</v>
      </c>
      <c r="F34" s="2328"/>
      <c r="G34" s="2328"/>
      <c r="H34" s="2328"/>
      <c r="I34" s="2328"/>
      <c r="J34" s="2328"/>
      <c r="K34" s="2328"/>
      <c r="L34" s="1682" t="s">
        <v>2171</v>
      </c>
      <c r="M34" s="2329" t="str">
        <f>IF(списки!$C$45,"да","нет")</f>
        <v>нет</v>
      </c>
      <c r="N34" s="2330"/>
      <c r="O34" s="2331"/>
      <c r="P34" s="264"/>
      <c r="Q34" s="264"/>
      <c r="R34" s="264"/>
      <c r="S34" s="264"/>
      <c r="T34" s="264"/>
      <c r="U34" s="264"/>
      <c r="V34" s="264"/>
      <c r="W34" s="264"/>
      <c r="X34" s="264"/>
      <c r="Y34" s="264"/>
      <c r="Z34" s="264"/>
      <c r="AA34" s="264"/>
      <c r="AB34" s="264"/>
      <c r="AC34" s="264"/>
    </row>
    <row r="35" spans="1:29" s="1683" customFormat="1" ht="30" customHeight="1" x14ac:dyDescent="0.25">
      <c r="A35" s="264"/>
      <c r="B35" s="2334" t="s">
        <v>2192</v>
      </c>
      <c r="C35" s="2334"/>
      <c r="D35" s="2334"/>
      <c r="E35" s="2334"/>
      <c r="F35" s="2334"/>
      <c r="G35" s="2334"/>
      <c r="H35" s="2334"/>
      <c r="I35" s="2334"/>
      <c r="J35" s="2334"/>
      <c r="K35" s="2334"/>
      <c r="L35" s="2334"/>
      <c r="M35" s="2334"/>
      <c r="N35" s="2334"/>
      <c r="O35" s="2334"/>
      <c r="P35" s="264"/>
      <c r="Q35" s="264"/>
      <c r="R35" s="264"/>
      <c r="S35" s="264"/>
      <c r="T35" s="264"/>
      <c r="U35" s="264"/>
      <c r="V35" s="264"/>
      <c r="W35" s="264"/>
      <c r="X35" s="264"/>
      <c r="Y35" s="264"/>
      <c r="Z35" s="264"/>
      <c r="AA35" s="264"/>
      <c r="AB35" s="264"/>
      <c r="AC35" s="264"/>
    </row>
    <row r="36" spans="1:29" s="1681" customFormat="1" ht="28.5" x14ac:dyDescent="0.25">
      <c r="A36" s="1646"/>
      <c r="B36" s="1667" t="s">
        <v>2147</v>
      </c>
      <c r="C36" s="2307" t="s">
        <v>829</v>
      </c>
      <c r="D36" s="2307"/>
      <c r="E36" s="2307"/>
      <c r="F36" s="2307"/>
      <c r="G36" s="2307"/>
      <c r="H36" s="2307"/>
      <c r="I36" s="2307"/>
      <c r="J36" s="2307"/>
      <c r="K36" s="2307"/>
      <c r="L36" s="1667" t="s">
        <v>2165</v>
      </c>
      <c r="M36" s="2307" t="s">
        <v>862</v>
      </c>
      <c r="N36" s="2307"/>
      <c r="O36" s="2307"/>
      <c r="P36" s="1646"/>
      <c r="Q36" s="1646"/>
      <c r="R36" s="1646"/>
      <c r="S36" s="1646"/>
      <c r="T36" s="1646"/>
      <c r="U36" s="1646"/>
      <c r="V36" s="1646"/>
      <c r="W36" s="1646"/>
      <c r="X36" s="1646"/>
      <c r="Y36" s="1646"/>
      <c r="Z36" s="1646"/>
      <c r="AA36" s="1646"/>
      <c r="AB36" s="1646"/>
      <c r="AC36" s="1646"/>
    </row>
    <row r="37" spans="1:29" ht="15" customHeight="1" x14ac:dyDescent="0.25">
      <c r="A37" s="264"/>
      <c r="B37" s="1666">
        <v>29</v>
      </c>
      <c r="C37" s="2318" t="s">
        <v>2193</v>
      </c>
      <c r="D37" s="2318"/>
      <c r="E37" s="2318"/>
      <c r="F37" s="2318"/>
      <c r="G37" s="2318"/>
      <c r="H37" s="2318"/>
      <c r="I37" s="2318"/>
      <c r="J37" s="2318"/>
      <c r="K37" s="2318"/>
      <c r="L37" s="1682" t="s">
        <v>2177</v>
      </c>
      <c r="M37" s="2333">
        <f>IF(ISBLANK('Ввод исходных данных'!$G55),"-",'Ввод исходных данных'!$G55)</f>
        <v>5769</v>
      </c>
      <c r="N37" s="2333"/>
      <c r="O37" s="2333"/>
      <c r="P37" s="264"/>
      <c r="Q37" s="264"/>
      <c r="R37" s="264"/>
      <c r="S37" s="264"/>
      <c r="T37" s="264"/>
      <c r="U37" s="264"/>
      <c r="V37" s="264"/>
      <c r="W37" s="264"/>
      <c r="X37" s="264"/>
      <c r="Y37" s="264"/>
      <c r="Z37" s="264"/>
      <c r="AA37" s="264"/>
      <c r="AB37" s="264"/>
      <c r="AC37" s="264"/>
    </row>
    <row r="38" spans="1:29" ht="15" customHeight="1" x14ac:dyDescent="0.25">
      <c r="A38" s="264"/>
      <c r="B38" s="1666">
        <v>30</v>
      </c>
      <c r="C38" s="2318" t="s">
        <v>2194</v>
      </c>
      <c r="D38" s="2318"/>
      <c r="E38" s="2318"/>
      <c r="F38" s="2318"/>
      <c r="G38" s="2318"/>
      <c r="H38" s="2318"/>
      <c r="I38" s="2318"/>
      <c r="J38" s="2318"/>
      <c r="K38" s="2318"/>
      <c r="L38" s="1682" t="s">
        <v>2177</v>
      </c>
      <c r="M38" s="2333">
        <f>IF(ISBLANK('Ввод исходных данных'!$G56),"-",'Ввод исходных данных'!$G56)</f>
        <v>4330.1000000000004</v>
      </c>
      <c r="N38" s="2333"/>
      <c r="O38" s="2333"/>
      <c r="P38" s="264"/>
      <c r="Q38" s="264"/>
      <c r="R38" s="264"/>
      <c r="S38" s="264"/>
      <c r="T38" s="264"/>
      <c r="U38" s="264"/>
      <c r="V38" s="264"/>
      <c r="W38" s="264"/>
      <c r="X38" s="264"/>
      <c r="Y38" s="264"/>
      <c r="Z38" s="264"/>
      <c r="AA38" s="264"/>
      <c r="AB38" s="264"/>
      <c r="AC38" s="264"/>
    </row>
    <row r="39" spans="1:29" x14ac:dyDescent="0.25">
      <c r="A39" s="264"/>
      <c r="B39" s="1666">
        <v>31</v>
      </c>
      <c r="C39" s="2318" t="s">
        <v>1350</v>
      </c>
      <c r="D39" s="2318"/>
      <c r="E39" s="2318"/>
      <c r="F39" s="2318"/>
      <c r="G39" s="2318"/>
      <c r="H39" s="2318"/>
      <c r="I39" s="2318"/>
      <c r="J39" s="2318"/>
      <c r="K39" s="2318"/>
      <c r="L39" s="1682" t="s">
        <v>2177</v>
      </c>
      <c r="M39" s="2333">
        <f>IF(ISBLANK('Ввод исходных данных'!$G57),"-",'Ввод исходных данных'!$G57)</f>
        <v>2952.9</v>
      </c>
      <c r="N39" s="2333"/>
      <c r="O39" s="2333"/>
      <c r="P39" s="264"/>
      <c r="Q39" s="264"/>
      <c r="R39" s="264"/>
      <c r="S39" s="264"/>
      <c r="T39" s="264"/>
      <c r="U39" s="264"/>
      <c r="V39" s="264"/>
      <c r="W39" s="264"/>
      <c r="X39" s="264"/>
      <c r="Y39" s="264"/>
      <c r="Z39" s="264"/>
      <c r="AA39" s="264"/>
      <c r="AB39" s="264"/>
      <c r="AC39" s="264"/>
    </row>
    <row r="40" spans="1:29" x14ac:dyDescent="0.25">
      <c r="A40" s="264"/>
      <c r="B40" s="1666">
        <v>32</v>
      </c>
      <c r="C40" s="2318" t="s">
        <v>2195</v>
      </c>
      <c r="D40" s="2318"/>
      <c r="E40" s="2318"/>
      <c r="F40" s="2318"/>
      <c r="G40" s="2318"/>
      <c r="H40" s="2318"/>
      <c r="I40" s="2318"/>
      <c r="J40" s="2318"/>
      <c r="K40" s="2318"/>
      <c r="L40" s="1682" t="s">
        <v>493</v>
      </c>
      <c r="M40" s="2333">
        <f>IF(ISBLANK('Ввод исходных данных'!$G58),"-",'Ввод исходных данных'!$G58)</f>
        <v>92.5</v>
      </c>
      <c r="N40" s="2333"/>
      <c r="O40" s="2333"/>
      <c r="P40" s="264"/>
      <c r="Q40" s="264"/>
      <c r="R40" s="264"/>
      <c r="S40" s="264"/>
      <c r="T40" s="264"/>
      <c r="U40" s="264"/>
      <c r="V40" s="264"/>
      <c r="W40" s="264"/>
      <c r="X40" s="264"/>
      <c r="Y40" s="264"/>
      <c r="Z40" s="264"/>
      <c r="AA40" s="264"/>
      <c r="AB40" s="264"/>
      <c r="AC40" s="264"/>
    </row>
    <row r="41" spans="1:29" ht="15" customHeight="1" x14ac:dyDescent="0.25">
      <c r="A41" s="264"/>
      <c r="B41" s="1666">
        <v>33</v>
      </c>
      <c r="C41" s="2318" t="s">
        <v>2196</v>
      </c>
      <c r="D41" s="2318"/>
      <c r="E41" s="2318"/>
      <c r="F41" s="2318"/>
      <c r="G41" s="2318"/>
      <c r="H41" s="2318"/>
      <c r="I41" s="2318"/>
      <c r="J41" s="2318"/>
      <c r="K41" s="2318"/>
      <c r="L41" s="1682" t="s">
        <v>493</v>
      </c>
      <c r="M41" s="2333">
        <f>IF(ISBLANK('Ввод исходных данных'!$G59),"-",'Ввод исходных данных'!$G59)</f>
        <v>12</v>
      </c>
      <c r="N41" s="2333"/>
      <c r="O41" s="2333"/>
      <c r="P41" s="264"/>
      <c r="Q41" s="264"/>
      <c r="R41" s="264"/>
      <c r="S41" s="264"/>
      <c r="T41" s="264"/>
      <c r="U41" s="264"/>
      <c r="V41" s="264"/>
      <c r="W41" s="264"/>
      <c r="X41" s="264"/>
      <c r="Y41" s="264"/>
      <c r="Z41" s="264"/>
      <c r="AA41" s="264"/>
      <c r="AB41" s="264"/>
      <c r="AC41" s="264"/>
    </row>
    <row r="42" spans="1:29" x14ac:dyDescent="0.25">
      <c r="A42" s="264"/>
      <c r="B42" s="1666">
        <v>34</v>
      </c>
      <c r="C42" s="2318" t="s">
        <v>1395</v>
      </c>
      <c r="D42" s="2318"/>
      <c r="E42" s="2318"/>
      <c r="F42" s="2318"/>
      <c r="G42" s="2318"/>
      <c r="H42" s="2318"/>
      <c r="I42" s="2318"/>
      <c r="J42" s="2318"/>
      <c r="K42" s="2318"/>
      <c r="L42" s="1682" t="s">
        <v>493</v>
      </c>
      <c r="M42" s="2333">
        <f>IF(ISBLANK('Ввод исходных данных'!$G60),"-",'Ввод исходных данных'!$G60)</f>
        <v>13.65</v>
      </c>
      <c r="N42" s="2333"/>
      <c r="O42" s="2333"/>
      <c r="P42" s="264"/>
      <c r="Q42" s="264"/>
      <c r="R42" s="264"/>
      <c r="S42" s="264"/>
      <c r="T42" s="264"/>
      <c r="U42" s="264"/>
      <c r="V42" s="264"/>
      <c r="W42" s="264"/>
      <c r="X42" s="264"/>
      <c r="Y42" s="264"/>
      <c r="Z42" s="264"/>
      <c r="AA42" s="264"/>
      <c r="AB42" s="264"/>
      <c r="AC42" s="264"/>
    </row>
    <row r="43" spans="1:29" x14ac:dyDescent="0.25">
      <c r="A43" s="264"/>
      <c r="B43" s="1666">
        <v>35</v>
      </c>
      <c r="C43" s="2335" t="s">
        <v>2197</v>
      </c>
      <c r="D43" s="2336"/>
      <c r="E43" s="2341" t="s">
        <v>1291</v>
      </c>
      <c r="F43" s="2342"/>
      <c r="G43" s="2342"/>
      <c r="H43" s="2342"/>
      <c r="I43" s="2342"/>
      <c r="J43" s="2342"/>
      <c r="K43" s="2343"/>
      <c r="L43" s="1682" t="s">
        <v>2177</v>
      </c>
      <c r="M43" s="2333">
        <f>IF(ISBLANK('Ввод исходных данных'!$G61),"-",'Ввод исходных данных'!$G61)</f>
        <v>2852.85</v>
      </c>
      <c r="N43" s="2333"/>
      <c r="O43" s="2333"/>
      <c r="P43" s="264"/>
      <c r="Q43" s="264"/>
      <c r="R43" s="264"/>
      <c r="S43" s="264"/>
      <c r="T43" s="264"/>
      <c r="U43" s="264"/>
      <c r="V43" s="264"/>
      <c r="W43" s="264"/>
      <c r="X43" s="264"/>
      <c r="Y43" s="264"/>
      <c r="Z43" s="264"/>
      <c r="AA43" s="264"/>
      <c r="AB43" s="264"/>
      <c r="AC43" s="264"/>
    </row>
    <row r="44" spans="1:29" ht="15" customHeight="1" x14ac:dyDescent="0.25">
      <c r="A44" s="264"/>
      <c r="B44" s="1666">
        <v>36</v>
      </c>
      <c r="C44" s="2337"/>
      <c r="D44" s="2338"/>
      <c r="E44" s="2341" t="s">
        <v>843</v>
      </c>
      <c r="F44" s="2342"/>
      <c r="G44" s="2342"/>
      <c r="H44" s="2342"/>
      <c r="I44" s="2342"/>
      <c r="J44" s="2342"/>
      <c r="K44" s="2343"/>
      <c r="L44" s="1682" t="s">
        <v>2177</v>
      </c>
      <c r="M44" s="2333">
        <f>IF(ISBLANK('Ввод исходных данных'!$G62),"-",'Ввод исходных данных'!$G62)</f>
        <v>2066.65</v>
      </c>
      <c r="N44" s="2333"/>
      <c r="O44" s="2333"/>
      <c r="P44" s="264"/>
      <c r="Q44" s="264"/>
      <c r="R44" s="264"/>
      <c r="S44" s="264"/>
      <c r="T44" s="264"/>
      <c r="U44" s="264"/>
      <c r="V44" s="264"/>
      <c r="W44" s="264"/>
      <c r="X44" s="264"/>
      <c r="Y44" s="264"/>
      <c r="Z44" s="264"/>
      <c r="AA44" s="264"/>
      <c r="AB44" s="264"/>
      <c r="AC44" s="264"/>
    </row>
    <row r="45" spans="1:29" ht="15" customHeight="1" x14ac:dyDescent="0.25">
      <c r="A45" s="264"/>
      <c r="B45" s="1666">
        <v>37</v>
      </c>
      <c r="C45" s="2337"/>
      <c r="D45" s="2338"/>
      <c r="E45" s="2341" t="s">
        <v>2198</v>
      </c>
      <c r="F45" s="2342"/>
      <c r="G45" s="2342"/>
      <c r="H45" s="2342"/>
      <c r="I45" s="2342"/>
      <c r="J45" s="2342"/>
      <c r="K45" s="2343"/>
      <c r="L45" s="1682" t="s">
        <v>2177</v>
      </c>
      <c r="M45" s="2333">
        <f>IF(ISBLANK('Ввод исходных данных'!$G64),"-",'Ввод исходных данных'!$G64)</f>
        <v>732</v>
      </c>
      <c r="N45" s="2333"/>
      <c r="O45" s="2333"/>
      <c r="P45" s="264"/>
      <c r="Q45" s="264"/>
      <c r="R45" s="264"/>
      <c r="S45" s="264"/>
      <c r="T45" s="264"/>
      <c r="U45" s="264"/>
      <c r="V45" s="264"/>
      <c r="W45" s="264"/>
      <c r="X45" s="264"/>
      <c r="Y45" s="264"/>
      <c r="Z45" s="264"/>
      <c r="AA45" s="264"/>
      <c r="AB45" s="264"/>
      <c r="AC45" s="264"/>
    </row>
    <row r="46" spans="1:29" ht="15" customHeight="1" x14ac:dyDescent="0.25">
      <c r="A46" s="264"/>
      <c r="B46" s="1666">
        <v>38</v>
      </c>
      <c r="C46" s="2337"/>
      <c r="D46" s="2338"/>
      <c r="E46" s="2341" t="s">
        <v>2199</v>
      </c>
      <c r="F46" s="2342"/>
      <c r="G46" s="2342"/>
      <c r="H46" s="2342"/>
      <c r="I46" s="2342"/>
      <c r="J46" s="2342"/>
      <c r="K46" s="2343"/>
      <c r="L46" s="1682" t="s">
        <v>2177</v>
      </c>
      <c r="M46" s="2333">
        <f>IF(ISBLANK('Ввод исходных данных'!$G67),"-",'Ввод исходных данных'!$G67)</f>
        <v>19.2</v>
      </c>
      <c r="N46" s="2333"/>
      <c r="O46" s="2333"/>
      <c r="P46" s="264"/>
      <c r="Q46" s="264"/>
      <c r="R46" s="264"/>
      <c r="S46" s="264"/>
      <c r="T46" s="264"/>
      <c r="U46" s="264"/>
      <c r="V46" s="264"/>
      <c r="W46" s="264"/>
      <c r="X46" s="264"/>
      <c r="Y46" s="264"/>
      <c r="Z46" s="264"/>
      <c r="AA46" s="264"/>
      <c r="AB46" s="264"/>
      <c r="AC46" s="264"/>
    </row>
    <row r="47" spans="1:29" ht="15" customHeight="1" x14ac:dyDescent="0.25">
      <c r="A47" s="264"/>
      <c r="B47" s="1666">
        <v>39</v>
      </c>
      <c r="C47" s="2337"/>
      <c r="D47" s="2338"/>
      <c r="E47" s="2341" t="s">
        <v>2200</v>
      </c>
      <c r="F47" s="2342"/>
      <c r="G47" s="2342"/>
      <c r="H47" s="2342"/>
      <c r="I47" s="2342"/>
      <c r="J47" s="2342"/>
      <c r="K47" s="2343"/>
      <c r="L47" s="1682" t="s">
        <v>2177</v>
      </c>
      <c r="M47" s="2333">
        <f>IF(ISBLANK('Ввод исходных данных'!$G70),"-",'Ввод исходных данных'!$G70)</f>
        <v>23</v>
      </c>
      <c r="N47" s="2333"/>
      <c r="O47" s="2333"/>
      <c r="P47" s="264"/>
      <c r="Q47" s="264"/>
      <c r="R47" s="264"/>
      <c r="S47" s="264"/>
      <c r="T47" s="264"/>
      <c r="U47" s="264"/>
      <c r="V47" s="264"/>
      <c r="W47" s="264"/>
      <c r="X47" s="264"/>
      <c r="Y47" s="264"/>
      <c r="Z47" s="264"/>
      <c r="AA47" s="264"/>
      <c r="AB47" s="264"/>
      <c r="AC47" s="264"/>
    </row>
    <row r="48" spans="1:29" ht="15" customHeight="1" x14ac:dyDescent="0.25">
      <c r="A48" s="264"/>
      <c r="B48" s="1666">
        <v>40</v>
      </c>
      <c r="C48" s="2339"/>
      <c r="D48" s="2340"/>
      <c r="E48" s="2341" t="s">
        <v>2201</v>
      </c>
      <c r="F48" s="2342"/>
      <c r="G48" s="2342"/>
      <c r="H48" s="2342"/>
      <c r="I48" s="2342"/>
      <c r="J48" s="2342"/>
      <c r="K48" s="2343"/>
      <c r="L48" s="1682" t="s">
        <v>2177</v>
      </c>
      <c r="M48" s="2333">
        <f>IF(ISBLANK('Ввод исходных данных'!$G77),"-",'Ввод исходных данных'!$G77)</f>
        <v>12</v>
      </c>
      <c r="N48" s="2333"/>
      <c r="O48" s="2333"/>
      <c r="P48" s="264"/>
      <c r="Q48" s="264"/>
      <c r="R48" s="264"/>
      <c r="S48" s="264"/>
      <c r="T48" s="264"/>
      <c r="U48" s="264"/>
      <c r="V48" s="264"/>
      <c r="W48" s="264"/>
      <c r="X48" s="264"/>
      <c r="Y48" s="264"/>
      <c r="Z48" s="264"/>
      <c r="AA48" s="264"/>
      <c r="AB48" s="264"/>
      <c r="AC48" s="264"/>
    </row>
    <row r="49" spans="1:29" x14ac:dyDescent="0.25">
      <c r="A49" s="264"/>
      <c r="B49" s="1666">
        <v>41</v>
      </c>
      <c r="C49" s="2318" t="s">
        <v>816</v>
      </c>
      <c r="D49" s="2318"/>
      <c r="E49" s="2318"/>
      <c r="F49" s="2318"/>
      <c r="G49" s="2318"/>
      <c r="H49" s="2318"/>
      <c r="I49" s="2318"/>
      <c r="J49" s="2318"/>
      <c r="K49" s="2318"/>
      <c r="L49" s="1682" t="s">
        <v>1768</v>
      </c>
      <c r="M49" s="2333">
        <f>IF(ISBLANK('Ввод исходных данных'!$G63),"-",'Ввод исходных данных'!$G63)</f>
        <v>284</v>
      </c>
      <c r="N49" s="2333"/>
      <c r="O49" s="2333"/>
      <c r="P49" s="264"/>
      <c r="Q49" s="264"/>
      <c r="R49" s="264"/>
      <c r="S49" s="264"/>
      <c r="T49" s="264"/>
      <c r="U49" s="264"/>
      <c r="V49" s="264"/>
      <c r="W49" s="264"/>
      <c r="X49" s="264"/>
      <c r="Y49" s="264"/>
      <c r="Z49" s="264"/>
      <c r="AA49" s="264"/>
      <c r="AB49" s="264"/>
      <c r="AC49" s="264"/>
    </row>
    <row r="50" spans="1:29" ht="15" customHeight="1" x14ac:dyDescent="0.25">
      <c r="A50" s="264"/>
      <c r="B50" s="1666">
        <v>42</v>
      </c>
      <c r="C50" s="2318" t="s">
        <v>2202</v>
      </c>
      <c r="D50" s="2318"/>
      <c r="E50" s="2318"/>
      <c r="F50" s="2318"/>
      <c r="G50" s="2318"/>
      <c r="H50" s="2318"/>
      <c r="I50" s="2318"/>
      <c r="J50" s="2318"/>
      <c r="K50" s="2318"/>
      <c r="L50" s="1682" t="s">
        <v>746</v>
      </c>
      <c r="M50" s="2333" t="str">
        <f>IF('Ввод исходных данных'!$D65=INDEX(WindowsOld,1),"-",'Ввод исходных данных'!$D65)</f>
        <v>дерево, спаренный</v>
      </c>
      <c r="N50" s="2333"/>
      <c r="O50" s="2333"/>
      <c r="P50" s="264"/>
      <c r="Q50" s="264"/>
      <c r="R50" s="264"/>
      <c r="S50" s="264"/>
      <c r="T50" s="264"/>
      <c r="U50" s="264"/>
      <c r="V50" s="264"/>
      <c r="W50" s="264"/>
      <c r="X50" s="264"/>
      <c r="Y50" s="264"/>
      <c r="Z50" s="264"/>
      <c r="AA50" s="264"/>
      <c r="AB50" s="264"/>
      <c r="AC50" s="264"/>
    </row>
    <row r="51" spans="1:29" ht="15" customHeight="1" x14ac:dyDescent="0.25">
      <c r="A51" s="264"/>
      <c r="B51" s="1666">
        <v>43</v>
      </c>
      <c r="C51" s="2318" t="s">
        <v>1934</v>
      </c>
      <c r="D51" s="2318"/>
      <c r="E51" s="2318"/>
      <c r="F51" s="2318"/>
      <c r="G51" s="2318"/>
      <c r="H51" s="2318"/>
      <c r="I51" s="2318"/>
      <c r="J51" s="2318"/>
      <c r="K51" s="2318"/>
      <c r="L51" s="1682" t="s">
        <v>1768</v>
      </c>
      <c r="M51" s="2333">
        <f>IF(ISBLANK('Ввод исходных данных'!$G66),"-",'Ввод исходных данных'!$G66)</f>
        <v>24</v>
      </c>
      <c r="N51" s="2333"/>
      <c r="O51" s="2333"/>
      <c r="P51" s="264"/>
      <c r="Q51" s="264"/>
      <c r="R51" s="264"/>
      <c r="S51" s="264"/>
      <c r="T51" s="264"/>
      <c r="U51" s="264"/>
      <c r="V51" s="264"/>
      <c r="W51" s="264"/>
      <c r="X51" s="264"/>
      <c r="Y51" s="264"/>
      <c r="Z51" s="264"/>
      <c r="AA51" s="264"/>
      <c r="AB51" s="264"/>
      <c r="AC51" s="264"/>
    </row>
    <row r="52" spans="1:29" ht="15" customHeight="1" x14ac:dyDescent="0.25">
      <c r="A52" s="264"/>
      <c r="B52" s="1666">
        <v>44</v>
      </c>
      <c r="C52" s="2318" t="s">
        <v>2203</v>
      </c>
      <c r="D52" s="2318"/>
      <c r="E52" s="2318"/>
      <c r="F52" s="2318"/>
      <c r="G52" s="2318"/>
      <c r="H52" s="2318"/>
      <c r="I52" s="2318"/>
      <c r="J52" s="2318"/>
      <c r="K52" s="2318"/>
      <c r="L52" s="1682" t="s">
        <v>746</v>
      </c>
      <c r="M52" s="2333" t="str">
        <f>IF('Ввод исходных данных'!$D68=INDEX(WindowsOld,1),"-",'Ввод исходных данных'!$D68)</f>
        <v>дерево, спаренный</v>
      </c>
      <c r="N52" s="2333"/>
      <c r="O52" s="2333"/>
      <c r="P52" s="264"/>
      <c r="Q52" s="264"/>
      <c r="R52" s="264"/>
      <c r="S52" s="264"/>
      <c r="T52" s="264"/>
      <c r="U52" s="264"/>
      <c r="V52" s="264"/>
      <c r="W52" s="264"/>
      <c r="X52" s="264"/>
      <c r="Y52" s="264"/>
      <c r="Z52" s="264"/>
      <c r="AA52" s="264"/>
      <c r="AB52" s="264"/>
      <c r="AC52" s="264"/>
    </row>
    <row r="53" spans="1:29" ht="15" customHeight="1" x14ac:dyDescent="0.25">
      <c r="A53" s="264"/>
      <c r="B53" s="1666">
        <v>45</v>
      </c>
      <c r="C53" s="2318" t="s">
        <v>1515</v>
      </c>
      <c r="D53" s="2318"/>
      <c r="E53" s="2318"/>
      <c r="F53" s="2318"/>
      <c r="G53" s="2318"/>
      <c r="H53" s="2318"/>
      <c r="I53" s="2318"/>
      <c r="J53" s="2318"/>
      <c r="K53" s="2318"/>
      <c r="L53" s="1682" t="s">
        <v>1768</v>
      </c>
      <c r="M53" s="2333">
        <f>IF(ISBLANK('Ввод исходных данных'!$G69),"-",'Ввод исходных данных'!$G69)</f>
        <v>12</v>
      </c>
      <c r="N53" s="2333"/>
      <c r="O53" s="2333"/>
      <c r="P53" s="264"/>
      <c r="Q53" s="264"/>
      <c r="R53" s="264"/>
      <c r="S53" s="264"/>
      <c r="T53" s="264"/>
      <c r="U53" s="264"/>
      <c r="V53" s="264"/>
      <c r="W53" s="264"/>
      <c r="X53" s="264"/>
      <c r="Y53" s="264"/>
      <c r="Z53" s="264"/>
      <c r="AA53" s="264"/>
      <c r="AB53" s="264"/>
      <c r="AC53" s="264"/>
    </row>
    <row r="54" spans="1:29" x14ac:dyDescent="0.25">
      <c r="A54" s="264"/>
      <c r="B54" s="1666">
        <v>46</v>
      </c>
      <c r="C54" s="2318" t="s">
        <v>1299</v>
      </c>
      <c r="D54" s="2318"/>
      <c r="E54" s="2318"/>
      <c r="F54" s="2318"/>
      <c r="G54" s="2318"/>
      <c r="H54" s="2318"/>
      <c r="I54" s="2318"/>
      <c r="J54" s="2318"/>
      <c r="K54" s="2318"/>
      <c r="L54" s="1682" t="s">
        <v>1768</v>
      </c>
      <c r="M54" s="2333">
        <f>IF(ISBLANK('Ввод исходных данных'!$G76),"-",'Ввод исходных данных'!$G76)</f>
        <v>6</v>
      </c>
      <c r="N54" s="2333"/>
      <c r="O54" s="2333"/>
      <c r="P54" s="264"/>
      <c r="Q54" s="264"/>
      <c r="R54" s="264"/>
      <c r="S54" s="264"/>
      <c r="T54" s="264"/>
      <c r="U54" s="264"/>
      <c r="V54" s="264"/>
      <c r="W54" s="264"/>
      <c r="X54" s="264"/>
      <c r="Y54" s="264"/>
      <c r="Z54" s="264"/>
      <c r="AA54" s="264"/>
      <c r="AB54" s="264"/>
      <c r="AC54" s="264"/>
    </row>
    <row r="55" spans="1:29" ht="15" customHeight="1" x14ac:dyDescent="0.25">
      <c r="A55" s="264"/>
      <c r="B55" s="1666">
        <v>47</v>
      </c>
      <c r="C55" s="2318" t="s">
        <v>2204</v>
      </c>
      <c r="D55" s="2318"/>
      <c r="E55" s="2318"/>
      <c r="F55" s="2318"/>
      <c r="G55" s="2318"/>
      <c r="H55" s="2318"/>
      <c r="I55" s="2318"/>
      <c r="J55" s="2318"/>
      <c r="K55" s="2318"/>
      <c r="L55" s="1682" t="s">
        <v>2177</v>
      </c>
      <c r="M55" s="2333">
        <f>IF(ISBLANK('Ввод исходных данных'!$G71),"-",'Ввод исходных данных'!$G71)</f>
        <v>1110</v>
      </c>
      <c r="N55" s="2333"/>
      <c r="O55" s="2333"/>
      <c r="P55" s="264"/>
      <c r="Q55" s="264"/>
      <c r="R55" s="264"/>
      <c r="S55" s="264"/>
      <c r="T55" s="264"/>
      <c r="U55" s="264"/>
      <c r="V55" s="264"/>
      <c r="W55" s="264"/>
      <c r="X55" s="264"/>
      <c r="Y55" s="264"/>
      <c r="Z55" s="264"/>
      <c r="AA55" s="264"/>
      <c r="AB55" s="264"/>
      <c r="AC55" s="264"/>
    </row>
    <row r="56" spans="1:29" ht="15" customHeight="1" x14ac:dyDescent="0.25">
      <c r="A56" s="264"/>
      <c r="B56" s="1666">
        <v>48</v>
      </c>
      <c r="C56" s="2318" t="s">
        <v>2205</v>
      </c>
      <c r="D56" s="2318"/>
      <c r="E56" s="2318"/>
      <c r="F56" s="2318"/>
      <c r="G56" s="2318"/>
      <c r="H56" s="2318"/>
      <c r="I56" s="2318"/>
      <c r="J56" s="2318"/>
      <c r="K56" s="2318"/>
      <c r="L56" s="1682" t="s">
        <v>2177</v>
      </c>
      <c r="M56" s="2333">
        <f>IF(ISBLANK('Ввод исходных данных'!$G72),"-",'Ввод исходных данных'!$G72)</f>
        <v>0</v>
      </c>
      <c r="N56" s="2333"/>
      <c r="O56" s="2333"/>
      <c r="P56" s="264"/>
      <c r="Q56" s="264"/>
      <c r="R56" s="264"/>
      <c r="S56" s="264"/>
      <c r="T56" s="264"/>
      <c r="U56" s="264"/>
      <c r="V56" s="264"/>
      <c r="W56" s="264"/>
      <c r="X56" s="264"/>
      <c r="Y56" s="264"/>
      <c r="Z56" s="264"/>
      <c r="AA56" s="264"/>
      <c r="AB56" s="264"/>
      <c r="AC56" s="264"/>
    </row>
    <row r="57" spans="1:29" ht="15" customHeight="1" x14ac:dyDescent="0.25">
      <c r="A57" s="264"/>
      <c r="B57" s="1666">
        <v>49</v>
      </c>
      <c r="C57" s="2318" t="s">
        <v>2206</v>
      </c>
      <c r="D57" s="2318"/>
      <c r="E57" s="2318"/>
      <c r="F57" s="2318"/>
      <c r="G57" s="2318"/>
      <c r="H57" s="2318"/>
      <c r="I57" s="2318"/>
      <c r="J57" s="2318"/>
      <c r="K57" s="2318"/>
      <c r="L57" s="1682" t="s">
        <v>2177</v>
      </c>
      <c r="M57" s="2333">
        <f>IF(ISBLANK('Ввод исходных данных'!$G73),"-",'Ввод исходных данных'!$G73)</f>
        <v>0</v>
      </c>
      <c r="N57" s="2333"/>
      <c r="O57" s="2333"/>
      <c r="P57" s="264"/>
      <c r="Q57" s="264"/>
      <c r="R57" s="264"/>
      <c r="S57" s="264"/>
      <c r="T57" s="264"/>
      <c r="U57" s="264"/>
      <c r="V57" s="264"/>
      <c r="W57" s="264"/>
      <c r="X57" s="264"/>
      <c r="Y57" s="264"/>
      <c r="Z57" s="264"/>
      <c r="AA57" s="264"/>
      <c r="AB57" s="264"/>
      <c r="AC57" s="264"/>
    </row>
    <row r="58" spans="1:29" ht="15" customHeight="1" x14ac:dyDescent="0.25">
      <c r="A58" s="264"/>
      <c r="B58" s="1666">
        <v>50</v>
      </c>
      <c r="C58" s="2318" t="s">
        <v>2351</v>
      </c>
      <c r="D58" s="2318"/>
      <c r="E58" s="2318"/>
      <c r="F58" s="2318"/>
      <c r="G58" s="2318"/>
      <c r="H58" s="2318"/>
      <c r="I58" s="2318"/>
      <c r="J58" s="2318"/>
      <c r="K58" s="2318"/>
      <c r="L58" s="1682" t="s">
        <v>2177</v>
      </c>
      <c r="M58" s="2333">
        <f>IF(ISBLANK('Ввод исходных данных'!$G74),"-",'Ввод исходных данных'!$G74)</f>
        <v>811.2</v>
      </c>
      <c r="N58" s="2333"/>
      <c r="O58" s="2333"/>
      <c r="P58" s="264"/>
      <c r="Q58" s="264"/>
      <c r="R58" s="264"/>
      <c r="S58" s="264"/>
      <c r="T58" s="264"/>
      <c r="U58" s="264"/>
      <c r="V58" s="264"/>
      <c r="W58" s="264"/>
      <c r="X58" s="264"/>
      <c r="Y58" s="264"/>
      <c r="Z58" s="264"/>
      <c r="AA58" s="264"/>
      <c r="AB58" s="264"/>
      <c r="AC58" s="264"/>
    </row>
    <row r="59" spans="1:29" x14ac:dyDescent="0.25">
      <c r="A59" s="264"/>
      <c r="B59" s="1666">
        <v>51</v>
      </c>
      <c r="C59" s="2318" t="s">
        <v>2207</v>
      </c>
      <c r="D59" s="2318"/>
      <c r="E59" s="2318"/>
      <c r="F59" s="2318"/>
      <c r="G59" s="2318"/>
      <c r="H59" s="2318"/>
      <c r="I59" s="2318"/>
      <c r="J59" s="2318"/>
      <c r="K59" s="2318"/>
      <c r="L59" s="1682" t="s">
        <v>2177</v>
      </c>
      <c r="M59" s="2333">
        <f>IF(ISBLANK('Ввод исходных данных'!$G75),"-",'Ввод исходных данных'!$G75)</f>
        <v>0</v>
      </c>
      <c r="N59" s="2333"/>
      <c r="O59" s="2333"/>
      <c r="P59" s="264"/>
      <c r="Q59" s="264"/>
      <c r="R59" s="264"/>
      <c r="S59" s="264"/>
      <c r="T59" s="264"/>
      <c r="U59" s="264"/>
      <c r="V59" s="264"/>
      <c r="W59" s="264"/>
      <c r="X59" s="264"/>
      <c r="Y59" s="264"/>
      <c r="Z59" s="264"/>
      <c r="AA59" s="264"/>
      <c r="AB59" s="264"/>
      <c r="AC59" s="264"/>
    </row>
    <row r="60" spans="1:29" s="1681" customFormat="1" ht="30" customHeight="1" x14ac:dyDescent="0.25">
      <c r="A60" s="1648"/>
      <c r="B60" s="2334" t="s">
        <v>2208</v>
      </c>
      <c r="C60" s="2334"/>
      <c r="D60" s="2334"/>
      <c r="E60" s="2334"/>
      <c r="F60" s="2334"/>
      <c r="G60" s="2334"/>
      <c r="H60" s="2334"/>
      <c r="I60" s="2334"/>
      <c r="J60" s="2334"/>
      <c r="K60" s="2334"/>
      <c r="L60" s="2334"/>
      <c r="M60" s="2334"/>
      <c r="N60" s="2334"/>
      <c r="O60" s="2334"/>
      <c r="P60" s="1648"/>
      <c r="Q60" s="1648"/>
      <c r="R60" s="1648"/>
      <c r="S60" s="1648"/>
      <c r="T60" s="1648"/>
      <c r="U60" s="1648"/>
      <c r="V60" s="1648"/>
      <c r="W60" s="1648"/>
      <c r="X60" s="1648"/>
      <c r="Y60" s="1648"/>
      <c r="Z60" s="1648"/>
      <c r="AA60" s="1648"/>
      <c r="AB60" s="1648"/>
      <c r="AC60" s="1648"/>
    </row>
    <row r="61" spans="1:29" s="1681" customFormat="1" ht="28.5" x14ac:dyDescent="0.25">
      <c r="A61" s="1646"/>
      <c r="B61" s="1667" t="s">
        <v>2147</v>
      </c>
      <c r="C61" s="2307" t="s">
        <v>829</v>
      </c>
      <c r="D61" s="2307"/>
      <c r="E61" s="2307"/>
      <c r="F61" s="2307"/>
      <c r="G61" s="2307"/>
      <c r="H61" s="2307"/>
      <c r="I61" s="2307"/>
      <c r="J61" s="2307"/>
      <c r="K61" s="2307"/>
      <c r="L61" s="1667" t="s">
        <v>2165</v>
      </c>
      <c r="M61" s="2307" t="s">
        <v>862</v>
      </c>
      <c r="N61" s="2307"/>
      <c r="O61" s="2307"/>
      <c r="P61" s="1646"/>
      <c r="Q61" s="1646"/>
      <c r="R61" s="1646"/>
      <c r="S61" s="1646"/>
      <c r="T61" s="1646"/>
      <c r="U61" s="1646"/>
      <c r="V61" s="1646"/>
      <c r="W61" s="1646"/>
      <c r="X61" s="1646"/>
      <c r="Y61" s="1646"/>
      <c r="Z61" s="1646"/>
      <c r="AA61" s="1646"/>
      <c r="AB61" s="1646"/>
      <c r="AC61" s="1646"/>
    </row>
    <row r="62" spans="1:29" x14ac:dyDescent="0.25">
      <c r="A62" s="264"/>
      <c r="B62" s="1666">
        <v>52</v>
      </c>
      <c r="C62" s="2318" t="s">
        <v>514</v>
      </c>
      <c r="D62" s="2318"/>
      <c r="E62" s="2318"/>
      <c r="F62" s="2318"/>
      <c r="G62" s="2318"/>
      <c r="H62" s="2318"/>
      <c r="I62" s="2318"/>
      <c r="J62" s="2318"/>
      <c r="K62" s="2318"/>
      <c r="L62" s="1682" t="s">
        <v>2209</v>
      </c>
      <c r="M62" s="2333" t="str">
        <f>IF(ISBLANK('Ввод исходных данных'!$D$81),"-",'Ввод исходных данных'!$D$81)</f>
        <v>-</v>
      </c>
      <c r="N62" s="2333"/>
      <c r="O62" s="2333"/>
      <c r="P62" s="264"/>
      <c r="Q62" s="264"/>
      <c r="R62" s="264"/>
      <c r="S62" s="264"/>
      <c r="T62" s="264"/>
      <c r="U62" s="264"/>
      <c r="V62" s="264"/>
      <c r="W62" s="264"/>
      <c r="X62" s="264"/>
      <c r="Y62" s="264"/>
      <c r="Z62" s="264"/>
      <c r="AA62" s="264"/>
      <c r="AB62" s="264"/>
      <c r="AC62" s="264"/>
    </row>
    <row r="63" spans="1:29" x14ac:dyDescent="0.25">
      <c r="A63" s="264"/>
      <c r="B63" s="1666">
        <v>53</v>
      </c>
      <c r="C63" s="2318" t="s">
        <v>1506</v>
      </c>
      <c r="D63" s="2318"/>
      <c r="E63" s="2318"/>
      <c r="F63" s="2318"/>
      <c r="G63" s="2318"/>
      <c r="H63" s="2318"/>
      <c r="I63" s="2318"/>
      <c r="J63" s="2318"/>
      <c r="K63" s="2318"/>
      <c r="L63" s="1682" t="s">
        <v>2209</v>
      </c>
      <c r="M63" s="2333" t="str">
        <f>IF(ISBLANK('Ввод исходных данных'!$D$82),"-",'Ввод исходных данных'!$D$82)</f>
        <v>-</v>
      </c>
      <c r="N63" s="2333"/>
      <c r="O63" s="2333"/>
      <c r="P63" s="264"/>
      <c r="Q63" s="264"/>
      <c r="R63" s="264"/>
      <c r="S63" s="264"/>
      <c r="T63" s="264"/>
      <c r="U63" s="264"/>
      <c r="V63" s="264"/>
      <c r="W63" s="264"/>
      <c r="X63" s="264"/>
      <c r="Y63" s="264"/>
      <c r="Z63" s="264"/>
      <c r="AA63" s="264"/>
      <c r="AB63" s="264"/>
      <c r="AC63" s="264"/>
    </row>
    <row r="64" spans="1:29" x14ac:dyDescent="0.25">
      <c r="A64" s="264"/>
      <c r="B64" s="1666">
        <v>54</v>
      </c>
      <c r="C64" s="2318" t="s">
        <v>1507</v>
      </c>
      <c r="D64" s="2318"/>
      <c r="E64" s="2318"/>
      <c r="F64" s="2318"/>
      <c r="G64" s="2318"/>
      <c r="H64" s="2318"/>
      <c r="I64" s="2318"/>
      <c r="J64" s="2318"/>
      <c r="K64" s="2318"/>
      <c r="L64" s="1682" t="s">
        <v>2209</v>
      </c>
      <c r="M64" s="2333" t="str">
        <f>IF(ISBLANK('Ввод исходных данных'!$D$83),"-",'Ввод исходных данных'!$D$83)</f>
        <v>-</v>
      </c>
      <c r="N64" s="2333"/>
      <c r="O64" s="2333"/>
      <c r="P64" s="264"/>
      <c r="Q64" s="264"/>
      <c r="R64" s="264"/>
      <c r="S64" s="264"/>
      <c r="T64" s="264"/>
      <c r="U64" s="264"/>
      <c r="V64" s="264"/>
      <c r="W64" s="264"/>
      <c r="X64" s="264"/>
      <c r="Y64" s="264"/>
      <c r="Z64" s="264"/>
      <c r="AA64" s="264"/>
      <c r="AB64" s="264"/>
      <c r="AC64" s="264"/>
    </row>
    <row r="65" spans="1:29" x14ac:dyDescent="0.25">
      <c r="A65" s="264"/>
      <c r="B65" s="1666">
        <v>55</v>
      </c>
      <c r="C65" s="2318" t="s">
        <v>1511</v>
      </c>
      <c r="D65" s="2318"/>
      <c r="E65" s="2318"/>
      <c r="F65" s="2318"/>
      <c r="G65" s="2318"/>
      <c r="H65" s="2318"/>
      <c r="I65" s="2318"/>
      <c r="J65" s="2318"/>
      <c r="K65" s="2318"/>
      <c r="L65" s="1682" t="s">
        <v>2209</v>
      </c>
      <c r="M65" s="2333" t="str">
        <f>IF(ISBLANK('Ввод исходных данных'!$D$84),"-",'Ввод исходных данных'!$D$84)</f>
        <v>-</v>
      </c>
      <c r="N65" s="2333"/>
      <c r="O65" s="2333"/>
      <c r="P65" s="264"/>
      <c r="Q65" s="264"/>
      <c r="R65" s="264"/>
      <c r="S65" s="264"/>
      <c r="T65" s="264"/>
      <c r="U65" s="264"/>
      <c r="V65" s="264"/>
      <c r="W65" s="264"/>
      <c r="X65" s="264"/>
      <c r="Y65" s="264"/>
      <c r="Z65" s="264"/>
      <c r="AA65" s="264"/>
      <c r="AB65" s="264"/>
      <c r="AC65" s="264"/>
    </row>
    <row r="66" spans="1:29" ht="15" customHeight="1" x14ac:dyDescent="0.25">
      <c r="A66" s="264"/>
      <c r="B66" s="1666">
        <v>56</v>
      </c>
      <c r="C66" s="2318" t="s">
        <v>1508</v>
      </c>
      <c r="D66" s="2318"/>
      <c r="E66" s="2318"/>
      <c r="F66" s="2318"/>
      <c r="G66" s="2318"/>
      <c r="H66" s="2318"/>
      <c r="I66" s="2318"/>
      <c r="J66" s="2318"/>
      <c r="K66" s="2318"/>
      <c r="L66" s="1682" t="s">
        <v>2209</v>
      </c>
      <c r="M66" s="2333" t="str">
        <f>IF(ISBLANK('Ввод исходных данных'!$D$85),"-",'Ввод исходных данных'!$D$85)</f>
        <v>-</v>
      </c>
      <c r="N66" s="2333"/>
      <c r="O66" s="2333"/>
      <c r="P66" s="264"/>
      <c r="Q66" s="264"/>
      <c r="R66" s="264"/>
      <c r="S66" s="264"/>
      <c r="T66" s="264"/>
      <c r="U66" s="264"/>
      <c r="V66" s="264"/>
      <c r="W66" s="264"/>
      <c r="X66" s="264"/>
      <c r="Y66" s="264"/>
      <c r="Z66" s="264"/>
      <c r="AA66" s="264"/>
      <c r="AB66" s="264"/>
      <c r="AC66" s="264"/>
    </row>
    <row r="67" spans="1:29" ht="15" customHeight="1" x14ac:dyDescent="0.25">
      <c r="A67" s="264"/>
      <c r="B67" s="1666">
        <v>57</v>
      </c>
      <c r="C67" s="2318" t="s">
        <v>1509</v>
      </c>
      <c r="D67" s="2318"/>
      <c r="E67" s="2318"/>
      <c r="F67" s="2318"/>
      <c r="G67" s="2318"/>
      <c r="H67" s="2318"/>
      <c r="I67" s="2318"/>
      <c r="J67" s="2318"/>
      <c r="K67" s="2318"/>
      <c r="L67" s="1682" t="s">
        <v>2209</v>
      </c>
      <c r="M67" s="2333" t="str">
        <f>IF(ISBLANK('Ввод исходных данных'!$D$86),"-",'Ввод исходных данных'!$D$86)</f>
        <v>-</v>
      </c>
      <c r="N67" s="2333"/>
      <c r="O67" s="2333"/>
      <c r="P67" s="264"/>
      <c r="Q67" s="264"/>
      <c r="R67" s="264"/>
      <c r="S67" s="264"/>
      <c r="T67" s="264"/>
      <c r="U67" s="264"/>
      <c r="V67" s="264"/>
      <c r="W67" s="264"/>
      <c r="X67" s="264"/>
      <c r="Y67" s="264"/>
      <c r="Z67" s="264"/>
      <c r="AA67" s="264"/>
      <c r="AB67" s="264"/>
      <c r="AC67" s="264"/>
    </row>
    <row r="68" spans="1:29" x14ac:dyDescent="0.25">
      <c r="A68" s="264"/>
      <c r="B68" s="1666">
        <v>58</v>
      </c>
      <c r="C68" s="2318" t="s">
        <v>1516</v>
      </c>
      <c r="D68" s="2318"/>
      <c r="E68" s="2318"/>
      <c r="F68" s="2318"/>
      <c r="G68" s="2318"/>
      <c r="H68" s="2318"/>
      <c r="I68" s="2318"/>
      <c r="J68" s="2318"/>
      <c r="K68" s="2318"/>
      <c r="L68" s="1682" t="s">
        <v>2209</v>
      </c>
      <c r="M68" s="2333" t="str">
        <f>IF(ISBLANK('Ввод исходных данных'!$D$87),"-",'Ввод исходных данных'!$D$87)</f>
        <v>-</v>
      </c>
      <c r="N68" s="2333"/>
      <c r="O68" s="2333"/>
      <c r="P68" s="264"/>
      <c r="Q68" s="264"/>
      <c r="R68" s="264"/>
      <c r="S68" s="264"/>
      <c r="T68" s="264"/>
      <c r="U68" s="264"/>
      <c r="V68" s="264"/>
      <c r="W68" s="264"/>
      <c r="X68" s="264"/>
      <c r="Y68" s="264"/>
      <c r="Z68" s="264"/>
      <c r="AA68" s="264"/>
      <c r="AB68" s="264"/>
      <c r="AC68" s="264"/>
    </row>
    <row r="69" spans="1:29" s="1683" customFormat="1" ht="30" customHeight="1" x14ac:dyDescent="0.25">
      <c r="A69" s="264"/>
      <c r="B69" s="2334" t="s">
        <v>2210</v>
      </c>
      <c r="C69" s="2334"/>
      <c r="D69" s="2334"/>
      <c r="E69" s="2334"/>
      <c r="F69" s="2334"/>
      <c r="G69" s="2334"/>
      <c r="H69" s="2334"/>
      <c r="I69" s="2334"/>
      <c r="J69" s="2334"/>
      <c r="K69" s="2334"/>
      <c r="L69" s="2334"/>
      <c r="M69" s="2334"/>
      <c r="N69" s="2334"/>
      <c r="O69" s="2334"/>
      <c r="P69" s="264"/>
      <c r="Q69" s="264"/>
      <c r="R69" s="264"/>
      <c r="S69" s="264"/>
      <c r="T69" s="264"/>
      <c r="U69" s="264"/>
      <c r="V69" s="264"/>
      <c r="W69" s="264"/>
      <c r="X69" s="264"/>
      <c r="Y69" s="264"/>
      <c r="Z69" s="264"/>
      <c r="AA69" s="264"/>
      <c r="AB69" s="264"/>
      <c r="AC69" s="264"/>
    </row>
    <row r="70" spans="1:29" s="1681" customFormat="1" ht="28.5" x14ac:dyDescent="0.25">
      <c r="A70" s="1646"/>
      <c r="B70" s="1667" t="s">
        <v>2147</v>
      </c>
      <c r="C70" s="2307" t="s">
        <v>829</v>
      </c>
      <c r="D70" s="2307"/>
      <c r="E70" s="2307"/>
      <c r="F70" s="2307"/>
      <c r="G70" s="2307"/>
      <c r="H70" s="2307"/>
      <c r="I70" s="2307"/>
      <c r="J70" s="2307"/>
      <c r="K70" s="2307"/>
      <c r="L70" s="1667" t="s">
        <v>2165</v>
      </c>
      <c r="M70" s="2307" t="s">
        <v>862</v>
      </c>
      <c r="N70" s="2307"/>
      <c r="O70" s="2307"/>
      <c r="P70" s="1646"/>
      <c r="Q70" s="1646"/>
      <c r="R70" s="1646"/>
      <c r="S70" s="1646"/>
      <c r="T70" s="1646"/>
      <c r="U70" s="1646"/>
      <c r="V70" s="1646"/>
      <c r="W70" s="1646"/>
      <c r="X70" s="1646"/>
      <c r="Y70" s="1646"/>
      <c r="Z70" s="1646"/>
      <c r="AA70" s="1646"/>
      <c r="AB70" s="1646"/>
      <c r="AC70" s="1646"/>
    </row>
    <row r="71" spans="1:29" ht="15" customHeight="1" x14ac:dyDescent="0.25">
      <c r="A71" s="264"/>
      <c r="B71" s="1666">
        <v>59</v>
      </c>
      <c r="C71" s="2318" t="s">
        <v>2211</v>
      </c>
      <c r="D71" s="2318"/>
      <c r="E71" s="2318"/>
      <c r="F71" s="2318"/>
      <c r="G71" s="2318"/>
      <c r="H71" s="2318"/>
      <c r="I71" s="2318"/>
      <c r="J71" s="2318"/>
      <c r="K71" s="2318"/>
      <c r="L71" s="1682" t="s">
        <v>2212</v>
      </c>
      <c r="M71" s="2344" t="str">
        <f>IF(ISBLANK('Ввод исходных данных'!$D$94),"-",'Ввод исходных данных'!$D$94)</f>
        <v>-</v>
      </c>
      <c r="N71" s="2344"/>
      <c r="O71" s="2344"/>
      <c r="P71" s="264"/>
      <c r="Q71" s="264"/>
      <c r="R71" s="264"/>
      <c r="S71" s="264"/>
      <c r="T71" s="264"/>
      <c r="U71" s="264"/>
      <c r="V71" s="264"/>
      <c r="W71" s="264"/>
      <c r="X71" s="264"/>
      <c r="Y71" s="264"/>
      <c r="Z71" s="264"/>
      <c r="AA71" s="264"/>
      <c r="AB71" s="264"/>
      <c r="AC71" s="264"/>
    </row>
    <row r="72" spans="1:29" ht="15" customHeight="1" x14ac:dyDescent="0.25">
      <c r="A72" s="264"/>
      <c r="B72" s="1666">
        <v>60</v>
      </c>
      <c r="C72" s="2318" t="s">
        <v>2213</v>
      </c>
      <c r="D72" s="2318"/>
      <c r="E72" s="2318"/>
      <c r="F72" s="2318"/>
      <c r="G72" s="2318"/>
      <c r="H72" s="2318"/>
      <c r="I72" s="2318"/>
      <c r="J72" s="2318"/>
      <c r="K72" s="2318"/>
      <c r="L72" s="1682" t="s">
        <v>2212</v>
      </c>
      <c r="M72" s="2344" t="str">
        <f>IF(ISBLANK('Ввод исходных данных'!$D$95),"-",'Ввод исходных данных'!$D$95)</f>
        <v>-</v>
      </c>
      <c r="N72" s="2344"/>
      <c r="O72" s="2344"/>
      <c r="P72" s="264"/>
      <c r="Q72" s="264"/>
      <c r="R72" s="264"/>
      <c r="S72" s="264"/>
      <c r="T72" s="264"/>
      <c r="U72" s="264"/>
      <c r="V72" s="264"/>
      <c r="W72" s="264"/>
      <c r="X72" s="264"/>
      <c r="Y72" s="264"/>
      <c r="Z72" s="264"/>
      <c r="AA72" s="264"/>
      <c r="AB72" s="264"/>
      <c r="AC72" s="264"/>
    </row>
    <row r="73" spans="1:29" ht="15" customHeight="1" x14ac:dyDescent="0.25">
      <c r="A73" s="264"/>
      <c r="B73" s="1666">
        <v>61</v>
      </c>
      <c r="C73" s="2318" t="s">
        <v>2214</v>
      </c>
      <c r="D73" s="2318"/>
      <c r="E73" s="2318"/>
      <c r="F73" s="2318"/>
      <c r="G73" s="2318"/>
      <c r="H73" s="2318"/>
      <c r="I73" s="2318"/>
      <c r="J73" s="2318"/>
      <c r="K73" s="2318"/>
      <c r="L73" s="1682" t="s">
        <v>2212</v>
      </c>
      <c r="M73" s="2344" t="str">
        <f>IF(ISBLANK('Ввод исходных данных'!$D$96),"-",'Ввод исходных данных'!$D$96)</f>
        <v>-</v>
      </c>
      <c r="N73" s="2344"/>
      <c r="O73" s="2344"/>
      <c r="P73" s="264"/>
      <c r="Q73" s="264"/>
      <c r="R73" s="264"/>
      <c r="S73" s="264"/>
      <c r="T73" s="264"/>
      <c r="U73" s="264"/>
      <c r="V73" s="264"/>
      <c r="W73" s="264"/>
      <c r="X73" s="264"/>
      <c r="Y73" s="264"/>
      <c r="Z73" s="264"/>
      <c r="AA73" s="264"/>
      <c r="AB73" s="264"/>
      <c r="AC73" s="264"/>
    </row>
    <row r="74" spans="1:29" x14ac:dyDescent="0.25">
      <c r="A74" s="264"/>
      <c r="B74" s="1666">
        <v>62</v>
      </c>
      <c r="C74" s="2318" t="s">
        <v>762</v>
      </c>
      <c r="D74" s="2318"/>
      <c r="E74" s="2318"/>
      <c r="F74" s="2318"/>
      <c r="G74" s="2318"/>
      <c r="H74" s="2318"/>
      <c r="I74" s="2318"/>
      <c r="J74" s="2318"/>
      <c r="K74" s="2318"/>
      <c r="L74" s="1682" t="s">
        <v>746</v>
      </c>
      <c r="M74" s="2344" t="str">
        <f>IF('Система отопления'!$F$8=1,"однотрубная","двухтрубная")</f>
        <v>однотрубная</v>
      </c>
      <c r="N74" s="2344"/>
      <c r="O74" s="2344"/>
      <c r="P74" s="264"/>
      <c r="Q74" s="264"/>
      <c r="R74" s="264"/>
      <c r="S74" s="264"/>
      <c r="T74" s="264"/>
      <c r="U74" s="264"/>
      <c r="V74" s="264"/>
      <c r="W74" s="264"/>
      <c r="X74" s="264"/>
      <c r="Y74" s="264"/>
      <c r="Z74" s="264"/>
      <c r="AA74" s="264"/>
      <c r="AB74" s="264"/>
      <c r="AC74" s="264"/>
    </row>
    <row r="75" spans="1:29" x14ac:dyDescent="0.25">
      <c r="A75" s="264"/>
      <c r="B75" s="1666">
        <v>63</v>
      </c>
      <c r="C75" s="2318" t="s">
        <v>797</v>
      </c>
      <c r="D75" s="2318"/>
      <c r="E75" s="2318"/>
      <c r="F75" s="2318"/>
      <c r="G75" s="2318"/>
      <c r="H75" s="2318"/>
      <c r="I75" s="2318"/>
      <c r="J75" s="2318"/>
      <c r="K75" s="2318"/>
      <c r="L75" s="1682" t="s">
        <v>2171</v>
      </c>
      <c r="M75" s="2344" t="str">
        <f>IF('Система отопления'!$G$11,"да","нет")</f>
        <v>нет</v>
      </c>
      <c r="N75" s="2344"/>
      <c r="O75" s="2344"/>
      <c r="P75" s="264"/>
      <c r="Q75" s="264"/>
      <c r="R75" s="264"/>
      <c r="S75" s="264"/>
      <c r="T75" s="264"/>
      <c r="U75" s="264"/>
      <c r="V75" s="264"/>
      <c r="W75" s="264"/>
      <c r="X75" s="264"/>
      <c r="Y75" s="264"/>
      <c r="Z75" s="264"/>
      <c r="AA75" s="264"/>
      <c r="AB75" s="264"/>
      <c r="AC75" s="264"/>
    </row>
    <row r="76" spans="1:29" ht="30" customHeight="1" x14ac:dyDescent="0.25">
      <c r="A76" s="264"/>
      <c r="B76" s="1666">
        <v>64</v>
      </c>
      <c r="C76" s="2318" t="s">
        <v>1675</v>
      </c>
      <c r="D76" s="2318"/>
      <c r="E76" s="2318"/>
      <c r="F76" s="2318"/>
      <c r="G76" s="2318"/>
      <c r="H76" s="2318"/>
      <c r="I76" s="2318"/>
      <c r="J76" s="2318"/>
      <c r="K76" s="2318"/>
      <c r="L76" s="1682" t="s">
        <v>746</v>
      </c>
      <c r="M76" s="2345"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v>
      </c>
      <c r="N76" s="2345"/>
      <c r="O76" s="2345"/>
      <c r="P76" s="264"/>
      <c r="Q76" s="264"/>
      <c r="R76" s="264"/>
      <c r="S76" s="264"/>
      <c r="T76" s="264"/>
      <c r="U76" s="264"/>
      <c r="V76" s="264"/>
      <c r="W76" s="264"/>
      <c r="X76" s="264"/>
      <c r="Y76" s="264"/>
      <c r="Z76" s="264"/>
      <c r="AA76" s="264"/>
      <c r="AB76" s="264"/>
      <c r="AC76" s="264"/>
    </row>
    <row r="77" spans="1:29" s="1683" customFormat="1" ht="30" customHeight="1" x14ac:dyDescent="0.25">
      <c r="A77" s="264"/>
      <c r="B77" s="2334" t="s">
        <v>2215</v>
      </c>
      <c r="C77" s="2346"/>
      <c r="D77" s="2346"/>
      <c r="E77" s="2346"/>
      <c r="F77" s="2346"/>
      <c r="G77" s="2346"/>
      <c r="H77" s="2346"/>
      <c r="I77" s="2346"/>
      <c r="J77" s="2346"/>
      <c r="K77" s="2346"/>
      <c r="L77" s="2346"/>
      <c r="M77" s="2346"/>
      <c r="N77" s="2346"/>
      <c r="O77" s="2346"/>
      <c r="P77" s="264"/>
      <c r="Q77" s="264"/>
      <c r="R77" s="264"/>
      <c r="S77" s="264"/>
      <c r="T77" s="264"/>
      <c r="U77" s="264"/>
      <c r="V77" s="264"/>
      <c r="W77" s="264"/>
      <c r="X77" s="264"/>
      <c r="Y77" s="264"/>
      <c r="Z77" s="264"/>
      <c r="AA77" s="264"/>
      <c r="AB77" s="264"/>
      <c r="AC77" s="264"/>
    </row>
    <row r="78" spans="1:29" s="1681" customFormat="1" ht="28.5" x14ac:dyDescent="0.25">
      <c r="A78" s="1646"/>
      <c r="B78" s="1667" t="s">
        <v>2147</v>
      </c>
      <c r="C78" s="2307" t="s">
        <v>829</v>
      </c>
      <c r="D78" s="2307"/>
      <c r="E78" s="2307"/>
      <c r="F78" s="2307"/>
      <c r="G78" s="2307"/>
      <c r="H78" s="2307"/>
      <c r="I78" s="2307"/>
      <c r="J78" s="2307"/>
      <c r="K78" s="2307"/>
      <c r="L78" s="1667" t="s">
        <v>2165</v>
      </c>
      <c r="M78" s="2308" t="s">
        <v>862</v>
      </c>
      <c r="N78" s="2309"/>
      <c r="O78" s="2310"/>
      <c r="P78" s="1646"/>
      <c r="Q78" s="1646"/>
      <c r="R78" s="1646"/>
      <c r="S78" s="1646"/>
      <c r="T78" s="1646"/>
      <c r="U78" s="1646"/>
      <c r="V78" s="1646"/>
      <c r="W78" s="1646"/>
      <c r="X78" s="1646"/>
      <c r="Y78" s="1646"/>
      <c r="Z78" s="1646"/>
      <c r="AA78" s="1646"/>
      <c r="AB78" s="1646"/>
      <c r="AC78" s="1646"/>
    </row>
    <row r="79" spans="1:29" ht="30" customHeight="1" x14ac:dyDescent="0.25">
      <c r="A79" s="264"/>
      <c r="B79" s="1666">
        <v>65</v>
      </c>
      <c r="C79" s="2318" t="s">
        <v>2216</v>
      </c>
      <c r="D79" s="2318"/>
      <c r="E79" s="2318"/>
      <c r="F79" s="2318"/>
      <c r="G79" s="2318"/>
      <c r="H79" s="2318"/>
      <c r="I79" s="2318"/>
      <c r="J79" s="2318"/>
      <c r="K79" s="2318"/>
      <c r="L79" s="1682" t="s">
        <v>746</v>
      </c>
      <c r="M79" s="2325" t="str">
        <f>IF(OR(ISBLANK('Ввод исходных данных'!$C$118),ISBLANK('Ввод исходных данных'!$D$118)),"-",MID('Ввод исходных данных'!$C$118,1,LEN('Ввод исходных данных'!$C$118)-4))</f>
        <v>-</v>
      </c>
      <c r="N79" s="2326"/>
      <c r="O79" s="2327"/>
      <c r="P79" s="264"/>
      <c r="Q79" s="264"/>
      <c r="R79" s="264"/>
      <c r="S79" s="264"/>
      <c r="T79" s="264"/>
      <c r="U79" s="264"/>
      <c r="V79" s="264"/>
      <c r="W79" s="264"/>
      <c r="X79" s="264"/>
      <c r="Y79" s="264"/>
      <c r="Z79" s="264"/>
      <c r="AA79" s="264"/>
      <c r="AB79" s="264"/>
      <c r="AC79" s="264"/>
    </row>
    <row r="80" spans="1:29" x14ac:dyDescent="0.25">
      <c r="A80" s="264"/>
      <c r="B80" s="1666">
        <v>66</v>
      </c>
      <c r="C80" s="2318" t="s">
        <v>2217</v>
      </c>
      <c r="D80" s="2318"/>
      <c r="E80" s="2318"/>
      <c r="F80" s="2318"/>
      <c r="G80" s="2318"/>
      <c r="H80" s="2318"/>
      <c r="I80" s="2318"/>
      <c r="J80" s="2318"/>
      <c r="K80" s="2318"/>
      <c r="L80" s="1682" t="s">
        <v>2212</v>
      </c>
      <c r="M80" s="2329" t="str">
        <f>IF(ISBLANK('Ввод исходных данных'!$D$118),"-",'Ввод исходных данных'!$D$118)</f>
        <v>-</v>
      </c>
      <c r="N80" s="2330"/>
      <c r="O80" s="2331"/>
      <c r="P80" s="264"/>
      <c r="Q80" s="264"/>
      <c r="R80" s="264"/>
      <c r="S80" s="264"/>
      <c r="T80" s="264"/>
      <c r="U80" s="264"/>
      <c r="V80" s="264"/>
      <c r="W80" s="264"/>
      <c r="X80" s="264"/>
      <c r="Y80" s="264"/>
      <c r="Z80" s="264"/>
      <c r="AA80" s="264"/>
      <c r="AB80" s="264"/>
      <c r="AC80" s="264"/>
    </row>
    <row r="81" spans="1:29" ht="15" customHeight="1" x14ac:dyDescent="0.25">
      <c r="A81" s="264"/>
      <c r="B81" s="1666">
        <v>67</v>
      </c>
      <c r="C81" s="2318" t="s">
        <v>2218</v>
      </c>
      <c r="D81" s="2318"/>
      <c r="E81" s="2318"/>
      <c r="F81" s="2318"/>
      <c r="G81" s="2318"/>
      <c r="H81" s="2318"/>
      <c r="I81" s="2318"/>
      <c r="J81" s="2318"/>
      <c r="K81" s="2318"/>
      <c r="L81" s="1682" t="s">
        <v>2212</v>
      </c>
      <c r="M81" s="2329" t="str">
        <f>IF(ISBLANK('Ввод исходных данных'!$D$119),"-",'Ввод исходных данных'!$D$119)</f>
        <v>-</v>
      </c>
      <c r="N81" s="2330"/>
      <c r="O81" s="2331"/>
      <c r="P81" s="264"/>
      <c r="Q81" s="264"/>
      <c r="R81" s="264"/>
      <c r="S81" s="264"/>
      <c r="T81" s="264"/>
      <c r="U81" s="264"/>
      <c r="V81" s="264"/>
      <c r="W81" s="264"/>
      <c r="X81" s="264"/>
      <c r="Y81" s="264"/>
      <c r="Z81" s="264"/>
      <c r="AA81" s="264"/>
      <c r="AB81" s="264"/>
      <c r="AC81" s="264"/>
    </row>
    <row r="82" spans="1:29" ht="15" customHeight="1" x14ac:dyDescent="0.25">
      <c r="A82" s="264"/>
      <c r="B82" s="1666">
        <v>68</v>
      </c>
      <c r="C82" s="2318" t="s">
        <v>2219</v>
      </c>
      <c r="D82" s="2318"/>
      <c r="E82" s="2318"/>
      <c r="F82" s="2318"/>
      <c r="G82" s="2318"/>
      <c r="H82" s="2318"/>
      <c r="I82" s="2318"/>
      <c r="J82" s="2318"/>
      <c r="K82" s="2318"/>
      <c r="L82" s="1682" t="s">
        <v>2212</v>
      </c>
      <c r="M82" s="2329" t="str">
        <f>IF(ISBLANK('Ввод исходных данных'!$D$120),"-",'Ввод исходных данных'!$D$120)</f>
        <v>-</v>
      </c>
      <c r="N82" s="2330"/>
      <c r="O82" s="2331"/>
      <c r="P82" s="264"/>
      <c r="Q82" s="264"/>
      <c r="R82" s="264"/>
      <c r="S82" s="264"/>
      <c r="T82" s="264"/>
      <c r="U82" s="264"/>
      <c r="V82" s="264"/>
      <c r="W82" s="264"/>
      <c r="X82" s="264"/>
      <c r="Y82" s="264"/>
      <c r="Z82" s="264"/>
      <c r="AA82" s="264"/>
      <c r="AB82" s="264"/>
      <c r="AC82" s="264"/>
    </row>
    <row r="83" spans="1:29" x14ac:dyDescent="0.25">
      <c r="A83" s="264"/>
      <c r="B83" s="1666">
        <v>69</v>
      </c>
      <c r="C83" s="2318" t="s">
        <v>2220</v>
      </c>
      <c r="D83" s="2318"/>
      <c r="E83" s="2318"/>
      <c r="F83" s="2318"/>
      <c r="G83" s="2318"/>
      <c r="H83" s="2318"/>
      <c r="I83" s="2318"/>
      <c r="J83" s="2318"/>
      <c r="K83" s="2318"/>
      <c r="L83" s="1682" t="s">
        <v>2221</v>
      </c>
      <c r="M83" s="2329" t="str">
        <f>SUM('Ввод исходных данных'!D127:D132)&amp;IF(COUNTIF('Ввод исходных данных'!D127:D132,"&gt;0")&lt;=1,""," ("&amp;IF(MID(P83,1,1)=";",MID(P83,3,LEN(P83)-2),P83)&amp;")")</f>
        <v>13</v>
      </c>
      <c r="N83" s="2330"/>
      <c r="O83" s="2331"/>
      <c r="P83" s="1772"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13</v>
      </c>
      <c r="Q83" s="264"/>
      <c r="R83" s="264"/>
      <c r="S83" s="264"/>
      <c r="T83" s="264"/>
      <c r="U83" s="264"/>
      <c r="V83" s="264"/>
      <c r="W83" s="264"/>
      <c r="X83" s="264"/>
      <c r="Y83" s="264"/>
      <c r="Z83" s="264"/>
      <c r="AA83" s="264"/>
      <c r="AB83" s="264"/>
      <c r="AC83" s="264"/>
    </row>
    <row r="84" spans="1:29" ht="15" customHeight="1" x14ac:dyDescent="0.25">
      <c r="A84" s="264"/>
      <c r="B84" s="1666">
        <v>70</v>
      </c>
      <c r="C84" s="2318" t="s">
        <v>2404</v>
      </c>
      <c r="D84" s="2318"/>
      <c r="E84" s="2318"/>
      <c r="F84" s="2318"/>
      <c r="G84" s="2318"/>
      <c r="H84" s="2318"/>
      <c r="I84" s="2318"/>
      <c r="J84" s="2318"/>
      <c r="K84" s="2318"/>
      <c r="L84" s="1682" t="s">
        <v>746</v>
      </c>
      <c r="M84" s="2329" t="str">
        <f>IF(MID(P84,1,1)=";",MID(P84,3,LEN(P84)-2),IF(P84="","-",P84))</f>
        <v>Июль</v>
      </c>
      <c r="N84" s="2330"/>
      <c r="O84" s="2331"/>
      <c r="P84" s="1772"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Июль</v>
      </c>
      <c r="Q84" s="264"/>
      <c r="R84" s="264"/>
      <c r="S84" s="264"/>
      <c r="T84" s="264"/>
      <c r="U84" s="264"/>
      <c r="V84" s="264"/>
      <c r="W84" s="264"/>
      <c r="X84" s="264"/>
      <c r="Y84" s="264"/>
      <c r="Z84" s="264"/>
      <c r="AA84" s="264"/>
      <c r="AB84" s="264"/>
      <c r="AC84" s="264"/>
    </row>
    <row r="85" spans="1:29" ht="30" customHeight="1" x14ac:dyDescent="0.25">
      <c r="A85" s="264"/>
      <c r="B85" s="1666">
        <v>71</v>
      </c>
      <c r="C85" s="2318" t="s">
        <v>783</v>
      </c>
      <c r="D85" s="2318"/>
      <c r="E85" s="2318"/>
      <c r="F85" s="2318"/>
      <c r="G85" s="2318"/>
      <c r="H85" s="2318"/>
      <c r="I85" s="2318"/>
      <c r="J85" s="2318"/>
      <c r="K85" s="2318"/>
      <c r="L85" s="1682" t="s">
        <v>746</v>
      </c>
      <c r="M85" s="2329" t="str">
        <f>IF(ISBLANK('Ввод исходных данных'!$D$121),"-",'Ввод исходных данных'!$D$121)</f>
        <v>-</v>
      </c>
      <c r="N85" s="2330"/>
      <c r="O85" s="2331"/>
      <c r="P85" s="264"/>
      <c r="Q85" s="264"/>
      <c r="R85" s="264"/>
      <c r="S85" s="264"/>
      <c r="T85" s="264"/>
      <c r="U85" s="264"/>
      <c r="V85" s="264"/>
      <c r="W85" s="264"/>
      <c r="X85" s="264"/>
      <c r="Y85" s="264"/>
      <c r="Z85" s="264"/>
      <c r="AA85" s="264"/>
      <c r="AB85" s="264"/>
      <c r="AC85" s="264"/>
    </row>
    <row r="86" spans="1:29" ht="15" customHeight="1" x14ac:dyDescent="0.25">
      <c r="A86" s="264"/>
      <c r="B86" s="1666">
        <v>72</v>
      </c>
      <c r="C86" s="2318" t="s">
        <v>2222</v>
      </c>
      <c r="D86" s="2318"/>
      <c r="E86" s="2318"/>
      <c r="F86" s="2318"/>
      <c r="G86" s="2318"/>
      <c r="H86" s="2318"/>
      <c r="I86" s="2318"/>
      <c r="J86" s="2318"/>
      <c r="K86" s="2318"/>
      <c r="L86" s="1682" t="s">
        <v>2212</v>
      </c>
      <c r="M86" s="2329" t="str">
        <f>IF(ISBLANK('Ввод исходных данных'!$D$122),"-",'Ввод исходных данных'!$D$122)</f>
        <v>-</v>
      </c>
      <c r="N86" s="2330"/>
      <c r="O86" s="2331"/>
      <c r="P86" s="264"/>
      <c r="Q86" s="264"/>
      <c r="R86" s="264"/>
      <c r="S86" s="264"/>
      <c r="T86" s="264"/>
      <c r="U86" s="264"/>
      <c r="V86" s="264"/>
      <c r="W86" s="264"/>
      <c r="X86" s="264"/>
      <c r="Y86" s="264"/>
      <c r="Z86" s="264"/>
      <c r="AA86" s="264"/>
      <c r="AB86" s="264"/>
      <c r="AC86" s="264"/>
    </row>
    <row r="87" spans="1:29" ht="30" customHeight="1" x14ac:dyDescent="0.25">
      <c r="A87" s="264"/>
      <c r="B87" s="1666">
        <v>73</v>
      </c>
      <c r="C87" s="2318" t="s">
        <v>1393</v>
      </c>
      <c r="D87" s="2318"/>
      <c r="E87" s="2318"/>
      <c r="F87" s="2318"/>
      <c r="G87" s="2318"/>
      <c r="H87" s="2318"/>
      <c r="I87" s="2318"/>
      <c r="J87" s="2318"/>
      <c r="K87" s="2318"/>
      <c r="L87" s="1682" t="s">
        <v>746</v>
      </c>
      <c r="M87" s="2325"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26"/>
      <c r="O87" s="2327"/>
      <c r="P87" s="264"/>
      <c r="Q87" s="264"/>
      <c r="R87" s="264"/>
      <c r="S87" s="264"/>
      <c r="T87" s="264"/>
      <c r="U87" s="264"/>
      <c r="V87" s="264"/>
      <c r="W87" s="264"/>
      <c r="X87" s="264"/>
      <c r="Y87" s="264"/>
      <c r="Z87" s="264"/>
      <c r="AA87" s="264"/>
      <c r="AB87" s="264"/>
      <c r="AC87" s="264"/>
    </row>
    <row r="88" spans="1:29" x14ac:dyDescent="0.25">
      <c r="A88" s="264"/>
      <c r="B88" s="1666">
        <v>74</v>
      </c>
      <c r="C88" s="2335" t="s">
        <v>2223</v>
      </c>
      <c r="D88" s="2336"/>
      <c r="E88" s="2347" t="s">
        <v>2224</v>
      </c>
      <c r="F88" s="2348"/>
      <c r="G88" s="2348"/>
      <c r="H88" s="2348"/>
      <c r="I88" s="2348"/>
      <c r="J88" s="2348"/>
      <c r="K88" s="2349"/>
      <c r="L88" s="1682" t="s">
        <v>2171</v>
      </c>
      <c r="M88" s="2329" t="str">
        <f>IF('Система ГВС'!$G$15,"да","нет")</f>
        <v>нет</v>
      </c>
      <c r="N88" s="2330"/>
      <c r="O88" s="2331"/>
      <c r="P88" s="264"/>
      <c r="Q88" s="264"/>
      <c r="R88" s="264"/>
      <c r="S88" s="264"/>
      <c r="T88" s="264"/>
      <c r="U88" s="264"/>
      <c r="V88" s="264"/>
      <c r="W88" s="264"/>
      <c r="X88" s="264"/>
      <c r="Y88" s="264"/>
      <c r="Z88" s="264"/>
      <c r="AA88" s="264"/>
      <c r="AB88" s="264"/>
      <c r="AC88" s="264"/>
    </row>
    <row r="89" spans="1:29" x14ac:dyDescent="0.25">
      <c r="A89" s="264"/>
      <c r="B89" s="1666">
        <v>75</v>
      </c>
      <c r="C89" s="2337"/>
      <c r="D89" s="2338"/>
      <c r="E89" s="2347" t="s">
        <v>730</v>
      </c>
      <c r="F89" s="2348"/>
      <c r="G89" s="2348"/>
      <c r="H89" s="2348"/>
      <c r="I89" s="2348"/>
      <c r="J89" s="2348"/>
      <c r="K89" s="2349"/>
      <c r="L89" s="1682" t="s">
        <v>2171</v>
      </c>
      <c r="M89" s="2329" t="str">
        <f>IF('Система ГВС'!$G$16,"да","нет")</f>
        <v>да</v>
      </c>
      <c r="N89" s="2330"/>
      <c r="O89" s="2331"/>
      <c r="P89" s="264"/>
      <c r="Q89" s="264"/>
      <c r="R89" s="264"/>
      <c r="S89" s="264"/>
      <c r="T89" s="264"/>
      <c r="U89" s="264"/>
      <c r="V89" s="264"/>
      <c r="W89" s="264"/>
      <c r="X89" s="264"/>
      <c r="Y89" s="264"/>
      <c r="Z89" s="264"/>
      <c r="AA89" s="264"/>
      <c r="AB89" s="264"/>
      <c r="AC89" s="264"/>
    </row>
    <row r="90" spans="1:29" x14ac:dyDescent="0.25">
      <c r="A90" s="264"/>
      <c r="B90" s="1666">
        <v>76</v>
      </c>
      <c r="C90" s="2337"/>
      <c r="D90" s="2338"/>
      <c r="E90" s="2347" t="s">
        <v>2225</v>
      </c>
      <c r="F90" s="2348"/>
      <c r="G90" s="2348"/>
      <c r="H90" s="2348"/>
      <c r="I90" s="2348"/>
      <c r="J90" s="2348"/>
      <c r="K90" s="2349"/>
      <c r="L90" s="1682" t="s">
        <v>2171</v>
      </c>
      <c r="M90" s="2329" t="str">
        <f>IF('Система ГВС'!$G$17,"да","нет")</f>
        <v>да</v>
      </c>
      <c r="N90" s="2330"/>
      <c r="O90" s="2331"/>
      <c r="P90" s="264"/>
      <c r="Q90" s="264"/>
      <c r="R90" s="264"/>
      <c r="S90" s="264"/>
      <c r="T90" s="264"/>
      <c r="U90" s="264"/>
      <c r="V90" s="264"/>
      <c r="W90" s="264"/>
      <c r="X90" s="264"/>
      <c r="Y90" s="264"/>
      <c r="Z90" s="264"/>
      <c r="AA90" s="264"/>
      <c r="AB90" s="264"/>
      <c r="AC90" s="264"/>
    </row>
    <row r="91" spans="1:29" s="1683" customFormat="1" ht="30" customHeight="1" x14ac:dyDescent="0.25">
      <c r="A91" s="264"/>
      <c r="B91" s="2334" t="s">
        <v>2226</v>
      </c>
      <c r="C91" s="2334"/>
      <c r="D91" s="2334"/>
      <c r="E91" s="2334"/>
      <c r="F91" s="2334"/>
      <c r="G91" s="2334"/>
      <c r="H91" s="2334"/>
      <c r="I91" s="2334"/>
      <c r="J91" s="2334"/>
      <c r="K91" s="2334"/>
      <c r="L91" s="2334"/>
      <c r="M91" s="2334"/>
      <c r="N91" s="2334"/>
      <c r="O91" s="2334"/>
      <c r="P91" s="264"/>
      <c r="Q91" s="264"/>
      <c r="R91" s="264"/>
      <c r="S91" s="264"/>
      <c r="T91" s="264"/>
      <c r="U91" s="264"/>
      <c r="V91" s="264"/>
      <c r="W91" s="264"/>
      <c r="X91" s="264"/>
      <c r="Y91" s="264"/>
      <c r="Z91" s="264"/>
      <c r="AA91" s="264"/>
      <c r="AB91" s="264"/>
      <c r="AC91" s="264"/>
    </row>
    <row r="92" spans="1:29" s="1684" customFormat="1" ht="60" customHeight="1" x14ac:dyDescent="0.25">
      <c r="A92" s="1649"/>
      <c r="B92" s="2353" t="s">
        <v>2147</v>
      </c>
      <c r="C92" s="2353" t="s">
        <v>1676</v>
      </c>
      <c r="D92" s="2353"/>
      <c r="E92" s="2353"/>
      <c r="F92" s="2353" t="s">
        <v>2227</v>
      </c>
      <c r="G92" s="2353"/>
      <c r="H92" s="2353" t="s">
        <v>2228</v>
      </c>
      <c r="I92" s="2353"/>
      <c r="J92" s="2353" t="s">
        <v>2229</v>
      </c>
      <c r="K92" s="2353"/>
      <c r="L92" s="2353" t="s">
        <v>2230</v>
      </c>
      <c r="M92" s="2353"/>
      <c r="N92" s="2353" t="s">
        <v>2231</v>
      </c>
      <c r="O92" s="2353"/>
      <c r="P92" s="1649"/>
      <c r="Q92" s="1649"/>
      <c r="R92" s="1649"/>
      <c r="S92" s="1649"/>
      <c r="T92" s="1649"/>
      <c r="U92" s="1649"/>
      <c r="V92" s="1649"/>
      <c r="W92" s="1649"/>
      <c r="X92" s="1649"/>
      <c r="Y92" s="1649"/>
      <c r="Z92" s="1649"/>
      <c r="AA92" s="1649"/>
      <c r="AB92" s="1649"/>
      <c r="AC92" s="1649"/>
    </row>
    <row r="93" spans="1:29" s="1683" customFormat="1" x14ac:dyDescent="0.25">
      <c r="A93" s="1650"/>
      <c r="B93" s="2353"/>
      <c r="C93" s="2353"/>
      <c r="D93" s="2353"/>
      <c r="E93" s="2353"/>
      <c r="F93" s="2350" t="s">
        <v>2036</v>
      </c>
      <c r="G93" s="2350"/>
      <c r="H93" s="2353"/>
      <c r="I93" s="2353"/>
      <c r="J93" s="2350" t="s">
        <v>1768</v>
      </c>
      <c r="K93" s="2350"/>
      <c r="L93" s="2350" t="s">
        <v>2057</v>
      </c>
      <c r="M93" s="2350"/>
      <c r="N93" s="2353"/>
      <c r="O93" s="2353"/>
      <c r="P93" s="1650"/>
      <c r="Q93" s="1650"/>
      <c r="R93" s="1650"/>
      <c r="S93" s="1650"/>
      <c r="T93" s="1650"/>
      <c r="U93" s="1650"/>
      <c r="V93" s="1650"/>
      <c r="W93" s="1650"/>
      <c r="X93" s="1650"/>
      <c r="Y93" s="1650"/>
      <c r="Z93" s="1650"/>
      <c r="AA93" s="1650"/>
      <c r="AB93" s="1650"/>
      <c r="AC93" s="1650"/>
    </row>
    <row r="94" spans="1:29" ht="30" customHeight="1" x14ac:dyDescent="0.25">
      <c r="A94" s="264"/>
      <c r="B94" s="1666">
        <v>77</v>
      </c>
      <c r="C94" s="2314" t="s">
        <v>1679</v>
      </c>
      <c r="D94" s="2314"/>
      <c r="E94" s="2314"/>
      <c r="F94" s="2351" t="str">
        <f>IF(OR(J94="-",L94="-",ISBLANK('Ввод исходных данных'!$H151)),"-",'Ввод исходных данных'!$H151)</f>
        <v>-</v>
      </c>
      <c r="G94" s="2351"/>
      <c r="H94" s="2352" t="str">
        <f>IF(OR(J94="-",L94="-",ISBLANK('Ввод исходных данных'!$E151)),"-",'Ввод исходных данных'!$E151)</f>
        <v>лампы накаливания</v>
      </c>
      <c r="I94" s="2352"/>
      <c r="J94" s="2351">
        <f>IF(ISBLANK('Ввод исходных данных'!D$151),"-",'Ввод исходных данных'!$D$151)</f>
        <v>6</v>
      </c>
      <c r="K94" s="2351"/>
      <c r="L94" s="2351">
        <f>IF(ISBLANK('Ввод исходных данных'!$F$151),"-",'Ввод исходных данных'!$F$151)</f>
        <v>75</v>
      </c>
      <c r="M94" s="2351"/>
      <c r="N94" s="2351" t="str">
        <f>IF(OR(J94="-",L94="-",ISBLANK('Ввод исходных данных'!$G151)),"-",'Ввод исходных данных'!$G151)</f>
        <v>нет</v>
      </c>
      <c r="O94" s="2351"/>
      <c r="P94" s="264"/>
      <c r="Q94" s="264"/>
      <c r="R94" s="264"/>
      <c r="S94" s="264"/>
      <c r="T94" s="264"/>
      <c r="U94" s="264"/>
      <c r="V94" s="264"/>
      <c r="W94" s="264"/>
      <c r="X94" s="264"/>
      <c r="Y94" s="264"/>
      <c r="Z94" s="264"/>
      <c r="AA94" s="264"/>
      <c r="AB94" s="264"/>
      <c r="AC94" s="264"/>
    </row>
    <row r="95" spans="1:29" ht="30" customHeight="1" x14ac:dyDescent="0.25">
      <c r="A95" s="264"/>
      <c r="B95" s="1666">
        <v>78</v>
      </c>
      <c r="C95" s="2314" t="s">
        <v>1680</v>
      </c>
      <c r="D95" s="2314"/>
      <c r="E95" s="2314"/>
      <c r="F95" s="2351" t="str">
        <f>IF(OR(J95="-",L95="-",ISBLANK('Ввод исходных данных'!$H152)),"-",'Ввод исходных данных'!$H152)</f>
        <v>-</v>
      </c>
      <c r="G95" s="2351"/>
      <c r="H95" s="2352" t="str">
        <f>IF(OR(J95="-",L95="-",ISBLANK('Ввод исходных данных'!$E152)),"-",'Ввод исходных данных'!$E152)</f>
        <v>лампы накаливания</v>
      </c>
      <c r="I95" s="2352"/>
      <c r="J95" s="2351">
        <f>IF(ISBLANK('Ввод исходных данных'!D$152),"-",'Ввод исходных данных'!$D$152)</f>
        <v>36</v>
      </c>
      <c r="K95" s="2351"/>
      <c r="L95" s="2351">
        <f>IF(ISBLANK('Ввод исходных данных'!$F$152),"-",'Ввод исходных данных'!$F$152)</f>
        <v>75</v>
      </c>
      <c r="M95" s="2351"/>
      <c r="N95" s="2351" t="str">
        <f>IF(OR(J95="-",L95="-",ISBLANK('Ввод исходных данных'!$G152)),"-",'Ввод исходных данных'!$G152)</f>
        <v>да</v>
      </c>
      <c r="O95" s="2351"/>
      <c r="P95" s="264"/>
      <c r="Q95" s="264"/>
      <c r="R95" s="264"/>
      <c r="S95" s="264"/>
      <c r="T95" s="264"/>
      <c r="U95" s="264"/>
      <c r="V95" s="264"/>
      <c r="W95" s="264"/>
      <c r="X95" s="264"/>
      <c r="Y95" s="264"/>
      <c r="Z95" s="264"/>
      <c r="AA95" s="264"/>
      <c r="AB95" s="264"/>
      <c r="AC95" s="264"/>
    </row>
    <row r="96" spans="1:29" ht="30" customHeight="1" x14ac:dyDescent="0.25">
      <c r="A96" s="264"/>
      <c r="B96" s="1666">
        <v>79</v>
      </c>
      <c r="C96" s="2314" t="s">
        <v>1681</v>
      </c>
      <c r="D96" s="2314"/>
      <c r="E96" s="2314"/>
      <c r="F96" s="2351" t="str">
        <f>IF(OR(J96="-",L96="-",ISBLANK('Ввод исходных данных'!$H153)),"-",'Ввод исходных данных'!$H153)</f>
        <v>-</v>
      </c>
      <c r="G96" s="2351"/>
      <c r="H96" s="2352" t="str">
        <f>IF(OR(J96="-",L96="-",ISBLANK('Ввод исходных данных'!$E153)),"-",'Ввод исходных данных'!$E153)</f>
        <v>-</v>
      </c>
      <c r="I96" s="2352"/>
      <c r="J96" s="2351" t="str">
        <f>IF(ISBLANK('Ввод исходных данных'!D$153),"-",'Ввод исходных данных'!$D$153)</f>
        <v>-</v>
      </c>
      <c r="K96" s="2351"/>
      <c r="L96" s="2351" t="str">
        <f>IF(ISBLANK('Ввод исходных данных'!$F$153),"-",'Ввод исходных данных'!$F$153)</f>
        <v>-</v>
      </c>
      <c r="M96" s="2351"/>
      <c r="N96" s="2351" t="str">
        <f>IF(OR(J96="-",L96="-",ISBLANK('Ввод исходных данных'!$G153)),"-",'Ввод исходных данных'!$G153)</f>
        <v>-</v>
      </c>
      <c r="O96" s="2351"/>
      <c r="P96" s="264"/>
      <c r="Q96" s="264"/>
      <c r="R96" s="264"/>
      <c r="S96" s="264"/>
      <c r="T96" s="264"/>
      <c r="U96" s="264"/>
      <c r="V96" s="264"/>
      <c r="W96" s="264"/>
      <c r="X96" s="264"/>
      <c r="Y96" s="264"/>
      <c r="Z96" s="264"/>
      <c r="AA96" s="264"/>
      <c r="AB96" s="264"/>
      <c r="AC96" s="264"/>
    </row>
    <row r="97" spans="1:29" ht="30" customHeight="1" x14ac:dyDescent="0.25">
      <c r="A97" s="264"/>
      <c r="B97" s="1666">
        <v>80</v>
      </c>
      <c r="C97" s="2314" t="s">
        <v>1678</v>
      </c>
      <c r="D97" s="2314"/>
      <c r="E97" s="2314"/>
      <c r="F97" s="2351" t="str">
        <f>IF(OR(J97="-",L97="-",ISBLANK('Ввод исходных данных'!$H154)),"-",'Ввод исходных данных'!$H154)</f>
        <v>-</v>
      </c>
      <c r="G97" s="2351"/>
      <c r="H97" s="2352" t="str">
        <f>IF(OR(J97="-",L97="-",ISBLANK('Ввод исходных данных'!$E154)),"-",'Ввод исходных данных'!$E154)</f>
        <v>-</v>
      </c>
      <c r="I97" s="2352"/>
      <c r="J97" s="2351" t="str">
        <f>IF(ISBLANK('Ввод исходных данных'!D$154),"-",'Ввод исходных данных'!$D$154)</f>
        <v>-</v>
      </c>
      <c r="K97" s="2351"/>
      <c r="L97" s="2351" t="str">
        <f>IF(ISBLANK('Ввод исходных данных'!$F$154),"-",'Ввод исходных данных'!$F$154)</f>
        <v>-</v>
      </c>
      <c r="M97" s="2351"/>
      <c r="N97" s="2351" t="str">
        <f>IF(OR(J97="-",L97="-",ISBLANK('Ввод исходных данных'!$G154)),"-",'Ввод исходных данных'!$G154)</f>
        <v>-</v>
      </c>
      <c r="O97" s="2351"/>
      <c r="P97" s="264"/>
      <c r="Q97" s="264"/>
      <c r="R97" s="264"/>
      <c r="S97" s="264"/>
      <c r="T97" s="264"/>
      <c r="U97" s="264"/>
      <c r="V97" s="264"/>
      <c r="W97" s="264"/>
      <c r="X97" s="264"/>
      <c r="Y97" s="264"/>
      <c r="Z97" s="264"/>
      <c r="AA97" s="264"/>
      <c r="AB97" s="264"/>
      <c r="AC97" s="264"/>
    </row>
    <row r="98" spans="1:29" ht="30" customHeight="1" x14ac:dyDescent="0.25">
      <c r="A98" s="264"/>
      <c r="B98" s="1666">
        <v>81</v>
      </c>
      <c r="C98" s="2314" t="s">
        <v>1409</v>
      </c>
      <c r="D98" s="2314"/>
      <c r="E98" s="2314"/>
      <c r="F98" s="2351" t="str">
        <f>IF(OR(J98="-",L98="-",ISBLANK('Ввод исходных данных'!$H155)),"-",'Ввод исходных данных'!$H155)</f>
        <v>-</v>
      </c>
      <c r="G98" s="2351"/>
      <c r="H98" s="2352" t="str">
        <f>IF(OR(J98="-",L98="-",ISBLANK('Ввод исходных данных'!$E155)),"-",'Ввод исходных данных'!$E155)</f>
        <v>-</v>
      </c>
      <c r="I98" s="2352"/>
      <c r="J98" s="2351" t="str">
        <f>IF(ISBLANK('Ввод исходных данных'!D$155),"-",'Ввод исходных данных'!$D$155)</f>
        <v>-</v>
      </c>
      <c r="K98" s="2351"/>
      <c r="L98" s="2351" t="str">
        <f>IF(ISBLANK('Ввод исходных данных'!$F$155),"-",'Ввод исходных данных'!$F$155)</f>
        <v>-</v>
      </c>
      <c r="M98" s="2351"/>
      <c r="N98" s="2351" t="str">
        <f>IF(OR(J98="-",L98="-",ISBLANK('Ввод исходных данных'!$G155)),"-",'Ввод исходных данных'!$G155)</f>
        <v>-</v>
      </c>
      <c r="O98" s="2351"/>
      <c r="P98" s="264"/>
      <c r="Q98" s="264"/>
      <c r="R98" s="264"/>
      <c r="S98" s="264"/>
      <c r="T98" s="264"/>
      <c r="U98" s="264"/>
      <c r="V98" s="264"/>
      <c r="W98" s="264"/>
      <c r="X98" s="264"/>
      <c r="Y98" s="264"/>
      <c r="Z98" s="264"/>
      <c r="AA98" s="264"/>
      <c r="AB98" s="264"/>
      <c r="AC98" s="264"/>
    </row>
    <row r="99" spans="1:29" ht="30" customHeight="1" x14ac:dyDescent="0.25">
      <c r="A99" s="264"/>
      <c r="B99" s="1666">
        <v>82</v>
      </c>
      <c r="C99" s="2314" t="s">
        <v>1830</v>
      </c>
      <c r="D99" s="2314"/>
      <c r="E99" s="2314"/>
      <c r="F99" s="2351" t="str">
        <f>IF(OR(J99="-",L99="-",ISBLANK('Ввод исходных данных'!$H156)),"-",'Ввод исходных данных'!$H156)</f>
        <v>-</v>
      </c>
      <c r="G99" s="2351"/>
      <c r="H99" s="2352" t="str">
        <f>IF(OR(J99="-",L99="-",ISBLANK('Ввод исходных данных'!$E156)),"-",'Ввод исходных данных'!$E156)</f>
        <v>-</v>
      </c>
      <c r="I99" s="2352"/>
      <c r="J99" s="2351" t="str">
        <f>IF(ISBLANK('Ввод исходных данных'!D$156),"-",'Ввод исходных данных'!$D$156)</f>
        <v>-</v>
      </c>
      <c r="K99" s="2351"/>
      <c r="L99" s="2351" t="str">
        <f>IF(ISBLANK('Ввод исходных данных'!$F$156),"-",'Ввод исходных данных'!$F$156)</f>
        <v>-</v>
      </c>
      <c r="M99" s="2351"/>
      <c r="N99" s="2351" t="str">
        <f>IF(OR(J99="-",L99="-",ISBLANK('Ввод исходных данных'!$G156)),"-",'Ввод исходных данных'!$G156)</f>
        <v>-</v>
      </c>
      <c r="O99" s="2351"/>
      <c r="P99" s="264"/>
      <c r="Q99" s="264"/>
      <c r="R99" s="264"/>
      <c r="S99" s="264"/>
      <c r="T99" s="264"/>
      <c r="U99" s="264"/>
      <c r="V99" s="264"/>
      <c r="W99" s="264"/>
      <c r="X99" s="264"/>
      <c r="Y99" s="264"/>
      <c r="Z99" s="264"/>
      <c r="AA99" s="264"/>
      <c r="AB99" s="264"/>
      <c r="AC99" s="264"/>
    </row>
    <row r="100" spans="1:29" s="1683" customFormat="1" ht="30" customHeight="1" x14ac:dyDescent="0.25">
      <c r="A100" s="264"/>
      <c r="B100" s="2334" t="s">
        <v>2232</v>
      </c>
      <c r="C100" s="2334"/>
      <c r="D100" s="2334"/>
      <c r="E100" s="2334"/>
      <c r="F100" s="2334"/>
      <c r="G100" s="2334"/>
      <c r="H100" s="2334"/>
      <c r="I100" s="2334"/>
      <c r="J100" s="2334"/>
      <c r="K100" s="2334"/>
      <c r="L100" s="2334"/>
      <c r="M100" s="2334"/>
      <c r="N100" s="2334"/>
      <c r="O100" s="2334"/>
      <c r="P100" s="264"/>
      <c r="Q100" s="264"/>
      <c r="R100" s="264"/>
      <c r="S100" s="264"/>
      <c r="T100" s="264"/>
      <c r="U100" s="264"/>
      <c r="V100" s="264"/>
      <c r="W100" s="264"/>
      <c r="X100" s="264"/>
      <c r="Y100" s="264"/>
      <c r="Z100" s="264"/>
      <c r="AA100" s="264"/>
      <c r="AB100" s="264"/>
      <c r="AC100" s="264"/>
    </row>
    <row r="101" spans="1:29" s="1681" customFormat="1" ht="28.5" x14ac:dyDescent="0.25">
      <c r="A101" s="1646"/>
      <c r="B101" s="1667" t="s">
        <v>2147</v>
      </c>
      <c r="C101" s="2307" t="s">
        <v>829</v>
      </c>
      <c r="D101" s="2307"/>
      <c r="E101" s="2307"/>
      <c r="F101" s="2307"/>
      <c r="G101" s="2307"/>
      <c r="H101" s="2307"/>
      <c r="I101" s="2307"/>
      <c r="J101" s="2307"/>
      <c r="K101" s="2307"/>
      <c r="L101" s="1667" t="s">
        <v>2165</v>
      </c>
      <c r="M101" s="2308" t="s">
        <v>862</v>
      </c>
      <c r="N101" s="2309"/>
      <c r="O101" s="2310"/>
      <c r="P101" s="1646"/>
      <c r="Q101" s="1646"/>
      <c r="R101" s="1646"/>
      <c r="S101" s="1646"/>
      <c r="T101" s="1646"/>
      <c r="U101" s="1646"/>
      <c r="V101" s="1646"/>
      <c r="W101" s="1646"/>
      <c r="X101" s="1646"/>
      <c r="Y101" s="1646"/>
      <c r="Z101" s="1646"/>
      <c r="AA101" s="1646"/>
      <c r="AB101" s="1646"/>
      <c r="AC101" s="1646"/>
    </row>
    <row r="102" spans="1:29" x14ac:dyDescent="0.25">
      <c r="A102" s="264"/>
      <c r="B102" s="1666">
        <v>83</v>
      </c>
      <c r="C102" s="2345" t="s">
        <v>2233</v>
      </c>
      <c r="D102" s="2345"/>
      <c r="E102" s="2354" t="s">
        <v>1291</v>
      </c>
      <c r="F102" s="2354"/>
      <c r="G102" s="2354"/>
      <c r="H102" s="2354"/>
      <c r="I102" s="2354"/>
      <c r="J102" s="2354"/>
      <c r="K102" s="2354"/>
      <c r="L102" s="1682" t="s">
        <v>1768</v>
      </c>
      <c r="M102" s="2355" t="str">
        <f>IF(ISBLANK('Ввод исходных данных'!$D$159),"-",'Ввод исходных данных'!$D$159)</f>
        <v>-</v>
      </c>
      <c r="N102" s="2356"/>
      <c r="O102" s="2357"/>
      <c r="P102" s="264"/>
      <c r="Q102" s="264"/>
      <c r="R102" s="264"/>
      <c r="S102" s="264"/>
      <c r="T102" s="264"/>
      <c r="U102" s="264"/>
      <c r="V102" s="264"/>
      <c r="W102" s="264"/>
      <c r="X102" s="264"/>
      <c r="Y102" s="264"/>
      <c r="Z102" s="264"/>
      <c r="AA102" s="264"/>
      <c r="AB102" s="264"/>
      <c r="AC102" s="264"/>
    </row>
    <row r="103" spans="1:29" ht="30" customHeight="1" x14ac:dyDescent="0.25">
      <c r="A103" s="264"/>
      <c r="B103" s="1666">
        <v>84</v>
      </c>
      <c r="C103" s="2345"/>
      <c r="D103" s="2345"/>
      <c r="E103" s="2320" t="s">
        <v>2234</v>
      </c>
      <c r="F103" s="2320"/>
      <c r="G103" s="2320"/>
      <c r="H103" s="2320"/>
      <c r="I103" s="2320"/>
      <c r="J103" s="2320"/>
      <c r="K103" s="2320"/>
      <c r="L103" s="1682" t="s">
        <v>1768</v>
      </c>
      <c r="M103" s="2355" t="str">
        <f>IF(ISBLANK('Ввод исходных данных'!$D$160),"-",'Ввод исходных данных'!$D$160)</f>
        <v>-</v>
      </c>
      <c r="N103" s="2356"/>
      <c r="O103" s="2357"/>
      <c r="P103" s="264"/>
      <c r="Q103" s="264"/>
      <c r="R103" s="264"/>
      <c r="S103" s="264"/>
      <c r="T103" s="264"/>
      <c r="U103" s="264"/>
      <c r="V103" s="264"/>
      <c r="W103" s="264"/>
      <c r="X103" s="264"/>
      <c r="Y103" s="264"/>
      <c r="Z103" s="264"/>
      <c r="AA103" s="264"/>
      <c r="AB103" s="264"/>
      <c r="AC103" s="264"/>
    </row>
    <row r="104" spans="1:29" x14ac:dyDescent="0.25">
      <c r="A104" s="264"/>
      <c r="B104" s="1666">
        <v>85</v>
      </c>
      <c r="C104" s="2318" t="s">
        <v>2235</v>
      </c>
      <c r="D104" s="2318"/>
      <c r="E104" s="2318"/>
      <c r="F104" s="2318"/>
      <c r="G104" s="2318"/>
      <c r="H104" s="2318"/>
      <c r="I104" s="2318"/>
      <c r="J104" s="2318"/>
      <c r="K104" s="2318"/>
      <c r="L104" s="1682" t="s">
        <v>1524</v>
      </c>
      <c r="M104" s="2355" t="str">
        <f>IF(ISBLANK('Ввод исходных данных'!$D$161),"-",'Ввод исходных данных'!$D$161)</f>
        <v>-</v>
      </c>
      <c r="N104" s="2356"/>
      <c r="O104" s="2357"/>
      <c r="P104" s="264"/>
      <c r="Q104" s="264"/>
      <c r="R104" s="264"/>
      <c r="S104" s="264"/>
      <c r="T104" s="264"/>
      <c r="U104" s="264"/>
      <c r="V104" s="264"/>
      <c r="W104" s="264"/>
      <c r="X104" s="264"/>
      <c r="Y104" s="264"/>
      <c r="Z104" s="264"/>
      <c r="AA104" s="264"/>
      <c r="AB104" s="264"/>
      <c r="AC104" s="264"/>
    </row>
    <row r="105" spans="1:29" ht="15" customHeight="1" x14ac:dyDescent="0.25">
      <c r="A105" s="264"/>
      <c r="B105" s="1666">
        <v>86</v>
      </c>
      <c r="C105" s="2318" t="s">
        <v>2236</v>
      </c>
      <c r="D105" s="2318"/>
      <c r="E105" s="2318"/>
      <c r="F105" s="2318"/>
      <c r="G105" s="2318"/>
      <c r="H105" s="2318"/>
      <c r="I105" s="2318"/>
      <c r="J105" s="2318"/>
      <c r="K105" s="2318"/>
      <c r="L105" s="1682" t="s">
        <v>2036</v>
      </c>
      <c r="M105" s="2355" t="str">
        <f>IF(OR(M102="-",ISBLANK('Ввод исходных данных'!$D$162)),"-",'Ввод исходных данных'!$D$162)</f>
        <v>-</v>
      </c>
      <c r="N105" s="2356"/>
      <c r="O105" s="2357"/>
      <c r="P105" s="264"/>
      <c r="Q105" s="264"/>
      <c r="R105" s="264"/>
      <c r="S105" s="264"/>
      <c r="T105" s="264"/>
      <c r="U105" s="264"/>
      <c r="V105" s="264"/>
      <c r="W105" s="264"/>
      <c r="X105" s="264"/>
      <c r="Y105" s="264"/>
      <c r="Z105" s="264"/>
      <c r="AA105" s="264"/>
      <c r="AB105" s="264"/>
      <c r="AC105" s="264"/>
    </row>
    <row r="106" spans="1:29" ht="15" customHeight="1" x14ac:dyDescent="0.25">
      <c r="A106" s="264"/>
      <c r="B106" s="1666">
        <v>87</v>
      </c>
      <c r="C106" s="2318" t="s">
        <v>2237</v>
      </c>
      <c r="D106" s="2318"/>
      <c r="E106" s="2354" t="s">
        <v>1291</v>
      </c>
      <c r="F106" s="2354"/>
      <c r="G106" s="2354"/>
      <c r="H106" s="2354"/>
      <c r="I106" s="2354"/>
      <c r="J106" s="2354"/>
      <c r="K106" s="2354"/>
      <c r="L106" s="1682" t="s">
        <v>1768</v>
      </c>
      <c r="M106" s="2355" t="str">
        <f>IF(ISBLANK('Ввод исходных данных'!$D165),"-",'Ввод исходных данных'!$D165)</f>
        <v>-</v>
      </c>
      <c r="N106" s="2356"/>
      <c r="O106" s="2357"/>
      <c r="P106" s="264"/>
      <c r="Q106" s="264"/>
      <c r="R106" s="264"/>
      <c r="S106" s="264"/>
      <c r="T106" s="264"/>
      <c r="U106" s="264"/>
      <c r="V106" s="264"/>
      <c r="W106" s="264"/>
      <c r="X106" s="264"/>
      <c r="Y106" s="264"/>
      <c r="Z106" s="264"/>
      <c r="AA106" s="264"/>
      <c r="AB106" s="264"/>
      <c r="AC106" s="264"/>
    </row>
    <row r="107" spans="1:29" ht="30" customHeight="1" x14ac:dyDescent="0.25">
      <c r="A107" s="264"/>
      <c r="B107" s="1666">
        <v>88</v>
      </c>
      <c r="C107" s="2318"/>
      <c r="D107" s="2318"/>
      <c r="E107" s="2320" t="s">
        <v>2238</v>
      </c>
      <c r="F107" s="2320"/>
      <c r="G107" s="2320"/>
      <c r="H107" s="2320"/>
      <c r="I107" s="2320"/>
      <c r="J107" s="2320"/>
      <c r="K107" s="2320"/>
      <c r="L107" s="1682" t="s">
        <v>1768</v>
      </c>
      <c r="M107" s="2355" t="str">
        <f>IF(ISBLANK('Ввод исходных данных'!$D166),"-",'Ввод исходных данных'!$D166)</f>
        <v>-</v>
      </c>
      <c r="N107" s="2356"/>
      <c r="O107" s="2357"/>
      <c r="P107" s="264"/>
      <c r="Q107" s="264"/>
      <c r="R107" s="264"/>
      <c r="S107" s="264"/>
      <c r="T107" s="264"/>
      <c r="U107" s="264"/>
      <c r="V107" s="264"/>
      <c r="W107" s="264"/>
      <c r="X107" s="264"/>
      <c r="Y107" s="264"/>
      <c r="Z107" s="264"/>
      <c r="AA107" s="264"/>
      <c r="AB107" s="264"/>
      <c r="AC107" s="264"/>
    </row>
    <row r="108" spans="1:29" ht="15" customHeight="1" x14ac:dyDescent="0.25">
      <c r="A108" s="264"/>
      <c r="B108" s="1666">
        <v>89</v>
      </c>
      <c r="C108" s="2354" t="s">
        <v>2239</v>
      </c>
      <c r="D108" s="2354"/>
      <c r="E108" s="2354"/>
      <c r="F108" s="2354"/>
      <c r="G108" s="2354"/>
      <c r="H108" s="2354"/>
      <c r="I108" s="2354"/>
      <c r="J108" s="2354"/>
      <c r="K108" s="2354"/>
      <c r="L108" s="1682" t="s">
        <v>1524</v>
      </c>
      <c r="M108" s="2355" t="str">
        <f>IF(ISBLANK('Ввод исходных данных'!$D167),"-",'Ввод исходных данных'!$D167)</f>
        <v>-</v>
      </c>
      <c r="N108" s="2356"/>
      <c r="O108" s="2357"/>
      <c r="P108" s="264"/>
      <c r="Q108" s="264"/>
      <c r="R108" s="264"/>
      <c r="S108" s="264"/>
      <c r="T108" s="264"/>
      <c r="U108" s="264"/>
      <c r="V108" s="264"/>
      <c r="W108" s="264"/>
      <c r="X108" s="264"/>
      <c r="Y108" s="264"/>
      <c r="Z108" s="264"/>
      <c r="AA108" s="264"/>
      <c r="AB108" s="264"/>
      <c r="AC108" s="264"/>
    </row>
    <row r="109" spans="1:29" ht="15" customHeight="1" x14ac:dyDescent="0.25">
      <c r="A109" s="264"/>
      <c r="B109" s="1666">
        <v>90</v>
      </c>
      <c r="C109" s="2354" t="s">
        <v>2240</v>
      </c>
      <c r="D109" s="2354"/>
      <c r="E109" s="2354"/>
      <c r="F109" s="2354"/>
      <c r="G109" s="2354"/>
      <c r="H109" s="2354"/>
      <c r="I109" s="2354"/>
      <c r="J109" s="2354"/>
      <c r="K109" s="2354"/>
      <c r="L109" s="1682" t="s">
        <v>2036</v>
      </c>
      <c r="M109" s="2355" t="str">
        <f>IF(OR(M106="-",ISBLANK('Ввод исходных данных'!$D$168)),"-",'Ввод исходных данных'!$D$168)</f>
        <v>-</v>
      </c>
      <c r="N109" s="2356"/>
      <c r="O109" s="2357"/>
      <c r="P109" s="264"/>
      <c r="Q109" s="264"/>
      <c r="R109" s="264"/>
      <c r="S109" s="264"/>
      <c r="T109" s="264"/>
      <c r="U109" s="264"/>
      <c r="V109" s="264"/>
      <c r="W109" s="264"/>
      <c r="X109" s="264"/>
      <c r="Y109" s="264"/>
      <c r="Z109" s="264"/>
      <c r="AA109" s="264"/>
      <c r="AB109" s="264"/>
      <c r="AC109" s="264"/>
    </row>
    <row r="110" spans="1:29" ht="15" customHeight="1" x14ac:dyDescent="0.25">
      <c r="A110" s="264"/>
      <c r="B110" s="1666">
        <v>91</v>
      </c>
      <c r="C110" s="2318" t="s">
        <v>2241</v>
      </c>
      <c r="D110" s="2318"/>
      <c r="E110" s="2354" t="s">
        <v>1291</v>
      </c>
      <c r="F110" s="2354"/>
      <c r="G110" s="2354"/>
      <c r="H110" s="2354"/>
      <c r="I110" s="2354"/>
      <c r="J110" s="2354"/>
      <c r="K110" s="2354"/>
      <c r="L110" s="1682" t="s">
        <v>1768</v>
      </c>
      <c r="M110" s="2355" t="str">
        <f>IF(ISBLANK('Ввод исходных данных'!$D169),"-",'Ввод исходных данных'!$D169)</f>
        <v>-</v>
      </c>
      <c r="N110" s="2356"/>
      <c r="O110" s="2357"/>
      <c r="P110" s="264"/>
      <c r="Q110" s="264"/>
      <c r="R110" s="264"/>
      <c r="S110" s="264"/>
      <c r="T110" s="264"/>
      <c r="U110" s="264"/>
      <c r="V110" s="264"/>
      <c r="W110" s="264"/>
      <c r="X110" s="264"/>
      <c r="Y110" s="264"/>
      <c r="Z110" s="264"/>
      <c r="AA110" s="264"/>
      <c r="AB110" s="264"/>
      <c r="AC110" s="264"/>
    </row>
    <row r="111" spans="1:29" ht="30" customHeight="1" x14ac:dyDescent="0.25">
      <c r="A111" s="264"/>
      <c r="B111" s="1666">
        <v>92</v>
      </c>
      <c r="C111" s="2318"/>
      <c r="D111" s="2318"/>
      <c r="E111" s="2320" t="s">
        <v>2238</v>
      </c>
      <c r="F111" s="2320"/>
      <c r="G111" s="2320"/>
      <c r="H111" s="2320"/>
      <c r="I111" s="2320"/>
      <c r="J111" s="2320"/>
      <c r="K111" s="2320"/>
      <c r="L111" s="1682" t="s">
        <v>1768</v>
      </c>
      <c r="M111" s="2355" t="str">
        <f>IF(ISBLANK('Ввод исходных данных'!$D170),"-",'Ввод исходных данных'!$D170)</f>
        <v>-</v>
      </c>
      <c r="N111" s="2356"/>
      <c r="O111" s="2357"/>
      <c r="P111" s="264"/>
      <c r="Q111" s="264"/>
      <c r="R111" s="264"/>
      <c r="S111" s="264"/>
      <c r="T111" s="264"/>
      <c r="U111" s="264"/>
      <c r="V111" s="264"/>
      <c r="W111" s="264"/>
      <c r="X111" s="264"/>
      <c r="Y111" s="264"/>
      <c r="Z111" s="264"/>
      <c r="AA111" s="264"/>
      <c r="AB111" s="264"/>
      <c r="AC111" s="264"/>
    </row>
    <row r="112" spans="1:29" ht="15" customHeight="1" x14ac:dyDescent="0.25">
      <c r="A112" s="264"/>
      <c r="B112" s="1666">
        <v>93</v>
      </c>
      <c r="C112" s="2354" t="s">
        <v>2242</v>
      </c>
      <c r="D112" s="2354"/>
      <c r="E112" s="2354"/>
      <c r="F112" s="2354"/>
      <c r="G112" s="2354"/>
      <c r="H112" s="2354"/>
      <c r="I112" s="2354"/>
      <c r="J112" s="2354"/>
      <c r="K112" s="2354"/>
      <c r="L112" s="1682" t="s">
        <v>1524</v>
      </c>
      <c r="M112" s="2355" t="str">
        <f>IF(ISBLANK('Ввод исходных данных'!$D171),"-",'Ввод исходных данных'!$D171)</f>
        <v>-</v>
      </c>
      <c r="N112" s="2356"/>
      <c r="O112" s="2357"/>
      <c r="P112" s="264"/>
      <c r="Q112" s="264"/>
      <c r="R112" s="264"/>
      <c r="S112" s="264"/>
      <c r="T112" s="264"/>
      <c r="U112" s="264"/>
      <c r="V112" s="264"/>
      <c r="W112" s="264"/>
      <c r="X112" s="264"/>
      <c r="Y112" s="264"/>
      <c r="Z112" s="264"/>
      <c r="AA112" s="264"/>
      <c r="AB112" s="264"/>
      <c r="AC112" s="264"/>
    </row>
    <row r="113" spans="1:29" ht="15" customHeight="1" x14ac:dyDescent="0.25">
      <c r="A113" s="264"/>
      <c r="B113" s="1666">
        <v>94</v>
      </c>
      <c r="C113" s="2354" t="s">
        <v>2243</v>
      </c>
      <c r="D113" s="2354"/>
      <c r="E113" s="2354"/>
      <c r="F113" s="2354"/>
      <c r="G113" s="2354"/>
      <c r="H113" s="2354"/>
      <c r="I113" s="2354"/>
      <c r="J113" s="2354"/>
      <c r="K113" s="2354"/>
      <c r="L113" s="1682" t="s">
        <v>2036</v>
      </c>
      <c r="M113" s="2355" t="str">
        <f>IF(OR(M110="-",'Ввод исходных данных'!$D$172),"-",'Ввод исходных данных'!$D$172)</f>
        <v>-</v>
      </c>
      <c r="N113" s="2356"/>
      <c r="O113" s="2357"/>
      <c r="P113" s="264"/>
      <c r="Q113" s="264"/>
      <c r="R113" s="264"/>
      <c r="S113" s="264"/>
      <c r="T113" s="264"/>
      <c r="U113" s="264"/>
      <c r="V113" s="264"/>
      <c r="W113" s="264"/>
      <c r="X113" s="264"/>
      <c r="Y113" s="264"/>
      <c r="Z113" s="264"/>
      <c r="AA113" s="264"/>
      <c r="AB113" s="264"/>
      <c r="AC113" s="264"/>
    </row>
    <row r="114" spans="1:29" ht="15" customHeight="1" x14ac:dyDescent="0.25">
      <c r="A114" s="264"/>
      <c r="B114" s="1666">
        <v>95</v>
      </c>
      <c r="C114" s="2318" t="s">
        <v>2244</v>
      </c>
      <c r="D114" s="2318"/>
      <c r="E114" s="2354" t="s">
        <v>1291</v>
      </c>
      <c r="F114" s="2354"/>
      <c r="G114" s="2354"/>
      <c r="H114" s="2354"/>
      <c r="I114" s="2354"/>
      <c r="J114" s="2354"/>
      <c r="K114" s="2354"/>
      <c r="L114" s="1682" t="s">
        <v>1768</v>
      </c>
      <c r="M114" s="2355" t="str">
        <f>IF(ISBLANK('Ввод исходных данных'!$D173),"-",'Ввод исходных данных'!$D173)</f>
        <v>-</v>
      </c>
      <c r="N114" s="2356"/>
      <c r="O114" s="2357"/>
      <c r="P114" s="264"/>
      <c r="Q114" s="264"/>
      <c r="R114" s="264"/>
      <c r="S114" s="264"/>
      <c r="T114" s="264"/>
      <c r="U114" s="264"/>
      <c r="V114" s="264"/>
      <c r="W114" s="264"/>
      <c r="X114" s="264"/>
      <c r="Y114" s="264"/>
      <c r="Z114" s="264"/>
      <c r="AA114" s="264"/>
      <c r="AB114" s="264"/>
      <c r="AC114" s="264"/>
    </row>
    <row r="115" spans="1:29" ht="30" customHeight="1" x14ac:dyDescent="0.25">
      <c r="A115" s="264"/>
      <c r="B115" s="1666">
        <v>96</v>
      </c>
      <c r="C115" s="2318"/>
      <c r="D115" s="2318"/>
      <c r="E115" s="2320" t="s">
        <v>2238</v>
      </c>
      <c r="F115" s="2320"/>
      <c r="G115" s="2320"/>
      <c r="H115" s="2320"/>
      <c r="I115" s="2320"/>
      <c r="J115" s="2320"/>
      <c r="K115" s="2320"/>
      <c r="L115" s="1682" t="s">
        <v>1768</v>
      </c>
      <c r="M115" s="2355" t="str">
        <f>IF(ISBLANK('Ввод исходных данных'!$D174),"-",'Ввод исходных данных'!$D174)</f>
        <v>-</v>
      </c>
      <c r="N115" s="2356"/>
      <c r="O115" s="2357"/>
      <c r="P115" s="264"/>
      <c r="Q115" s="264"/>
      <c r="R115" s="264"/>
      <c r="S115" s="264"/>
      <c r="T115" s="264"/>
      <c r="U115" s="264"/>
      <c r="V115" s="264"/>
      <c r="W115" s="264"/>
      <c r="X115" s="264"/>
      <c r="Y115" s="264"/>
      <c r="Z115" s="264"/>
      <c r="AA115" s="264"/>
      <c r="AB115" s="264"/>
      <c r="AC115" s="264"/>
    </row>
    <row r="116" spans="1:29" ht="15" customHeight="1" x14ac:dyDescent="0.25">
      <c r="A116" s="264"/>
      <c r="B116" s="1666">
        <v>97</v>
      </c>
      <c r="C116" s="2354" t="s">
        <v>2245</v>
      </c>
      <c r="D116" s="2354"/>
      <c r="E116" s="2354"/>
      <c r="F116" s="2354"/>
      <c r="G116" s="2354"/>
      <c r="H116" s="2354"/>
      <c r="I116" s="2354"/>
      <c r="J116" s="2354"/>
      <c r="K116" s="2354"/>
      <c r="L116" s="1682" t="s">
        <v>1524</v>
      </c>
      <c r="M116" s="2355" t="str">
        <f>IF(ISBLANK('Ввод исходных данных'!$D175),"-",'Ввод исходных данных'!$D175)</f>
        <v>-</v>
      </c>
      <c r="N116" s="2356"/>
      <c r="O116" s="2357"/>
      <c r="P116" s="264"/>
      <c r="Q116" s="264"/>
      <c r="R116" s="264"/>
      <c r="S116" s="264"/>
      <c r="T116" s="264"/>
      <c r="U116" s="264"/>
      <c r="V116" s="264"/>
      <c r="W116" s="264"/>
      <c r="X116" s="264"/>
      <c r="Y116" s="264"/>
      <c r="Z116" s="264"/>
      <c r="AA116" s="264"/>
      <c r="AB116" s="264"/>
      <c r="AC116" s="264"/>
    </row>
    <row r="117" spans="1:29" ht="15" customHeight="1" x14ac:dyDescent="0.25">
      <c r="A117" s="264"/>
      <c r="B117" s="1666">
        <v>98</v>
      </c>
      <c r="C117" s="2354" t="s">
        <v>2246</v>
      </c>
      <c r="D117" s="2354"/>
      <c r="E117" s="2354"/>
      <c r="F117" s="2354"/>
      <c r="G117" s="2354"/>
      <c r="H117" s="2354"/>
      <c r="I117" s="2354"/>
      <c r="J117" s="2354"/>
      <c r="K117" s="2354"/>
      <c r="L117" s="1682" t="s">
        <v>2036</v>
      </c>
      <c r="M117" s="2355" t="str">
        <f>IF(OR(M114="-",ISBLANK('Ввод исходных данных'!$D176)),"-",'Ввод исходных данных'!$D176)</f>
        <v>-</v>
      </c>
      <c r="N117" s="2356"/>
      <c r="O117" s="2357"/>
      <c r="P117" s="264"/>
      <c r="Q117" s="264"/>
      <c r="R117" s="264"/>
      <c r="S117" s="264"/>
      <c r="T117" s="264"/>
      <c r="U117" s="264"/>
      <c r="V117" s="264"/>
      <c r="W117" s="264"/>
      <c r="X117" s="264"/>
      <c r="Y117" s="264"/>
      <c r="Z117" s="264"/>
      <c r="AA117" s="264"/>
      <c r="AB117" s="264"/>
      <c r="AC117" s="264"/>
    </row>
    <row r="118" spans="1:29" ht="15" customHeight="1" x14ac:dyDescent="0.25">
      <c r="A118" s="264"/>
      <c r="B118" s="1666">
        <v>99</v>
      </c>
      <c r="C118" s="2354" t="s">
        <v>2247</v>
      </c>
      <c r="D118" s="2354"/>
      <c r="E118" s="2354"/>
      <c r="F118" s="2354"/>
      <c r="G118" s="2354"/>
      <c r="H118" s="2354"/>
      <c r="I118" s="2354"/>
      <c r="J118" s="2354"/>
      <c r="K118" s="2354"/>
      <c r="L118" s="1682" t="s">
        <v>1524</v>
      </c>
      <c r="M118" s="2355" t="str">
        <f>IF(ISBLANK('Ввод исходных данных'!$D179),"-",'Ввод исходных данных'!$D179)</f>
        <v>-</v>
      </c>
      <c r="N118" s="2356"/>
      <c r="O118" s="2357"/>
      <c r="P118" s="264"/>
      <c r="Q118" s="264"/>
      <c r="R118" s="264"/>
      <c r="S118" s="264"/>
      <c r="T118" s="264"/>
      <c r="U118" s="264"/>
      <c r="V118" s="264"/>
      <c r="W118" s="264"/>
      <c r="X118" s="264"/>
      <c r="Y118" s="264"/>
      <c r="Z118" s="264"/>
      <c r="AA118" s="264"/>
      <c r="AB118" s="264"/>
      <c r="AC118" s="264"/>
    </row>
    <row r="119" spans="1:29" ht="15" customHeight="1" x14ac:dyDescent="0.25">
      <c r="A119" s="264"/>
      <c r="B119" s="1666">
        <v>100</v>
      </c>
      <c r="C119" s="2358" t="s">
        <v>2248</v>
      </c>
      <c r="D119" s="2359"/>
      <c r="E119" s="2359"/>
      <c r="F119" s="2359"/>
      <c r="G119" s="2359"/>
      <c r="H119" s="2359"/>
      <c r="I119" s="2359"/>
      <c r="J119" s="2359"/>
      <c r="K119" s="2360"/>
      <c r="L119" s="1682" t="s">
        <v>2036</v>
      </c>
      <c r="M119" s="2355" t="str">
        <f>IF(ISBLANK('Ввод исходных данных'!$D180),"-",'Ввод исходных данных'!$D180)</f>
        <v>-</v>
      </c>
      <c r="N119" s="2356"/>
      <c r="O119" s="2357"/>
      <c r="P119" s="264"/>
      <c r="Q119" s="264"/>
      <c r="R119" s="264"/>
      <c r="S119" s="264"/>
      <c r="T119" s="264"/>
      <c r="U119" s="264"/>
      <c r="V119" s="264"/>
      <c r="W119" s="264"/>
      <c r="X119" s="264"/>
      <c r="Y119" s="264"/>
      <c r="Z119" s="264"/>
      <c r="AA119" s="264"/>
      <c r="AB119" s="264"/>
      <c r="AC119" s="264"/>
    </row>
    <row r="120" spans="1:29" s="1683" customFormat="1" ht="30" customHeight="1" x14ac:dyDescent="0.25">
      <c r="A120" s="264"/>
      <c r="B120" s="2346" t="s">
        <v>2249</v>
      </c>
      <c r="C120" s="2346"/>
      <c r="D120" s="2346"/>
      <c r="E120" s="2346"/>
      <c r="F120" s="2346"/>
      <c r="G120" s="2346"/>
      <c r="H120" s="2346"/>
      <c r="I120" s="2346"/>
      <c r="J120" s="2346"/>
      <c r="K120" s="2346"/>
      <c r="L120" s="2346"/>
      <c r="M120" s="2346"/>
      <c r="N120" s="2346"/>
      <c r="O120" s="2346"/>
      <c r="P120" s="264"/>
      <c r="Q120" s="264"/>
      <c r="R120" s="264"/>
      <c r="S120" s="264"/>
      <c r="T120" s="264"/>
      <c r="U120" s="264"/>
      <c r="V120" s="264"/>
      <c r="W120" s="264"/>
      <c r="X120" s="264"/>
      <c r="Y120" s="264"/>
      <c r="Z120" s="264"/>
      <c r="AA120" s="264"/>
      <c r="AB120" s="264"/>
      <c r="AC120" s="264"/>
    </row>
    <row r="121" spans="1:29" s="1681" customFormat="1" ht="28.5" x14ac:dyDescent="0.25">
      <c r="A121" s="1646"/>
      <c r="B121" s="1667" t="s">
        <v>2147</v>
      </c>
      <c r="C121" s="2307" t="s">
        <v>829</v>
      </c>
      <c r="D121" s="2307"/>
      <c r="E121" s="2307"/>
      <c r="F121" s="2307"/>
      <c r="G121" s="2307"/>
      <c r="H121" s="2307"/>
      <c r="I121" s="2307"/>
      <c r="J121" s="2307"/>
      <c r="K121" s="2307"/>
      <c r="L121" s="1667" t="s">
        <v>2165</v>
      </c>
      <c r="M121" s="2307" t="s">
        <v>862</v>
      </c>
      <c r="N121" s="2307"/>
      <c r="O121" s="2307"/>
      <c r="P121" s="1646"/>
      <c r="Q121" s="1646"/>
      <c r="R121" s="1646"/>
      <c r="S121" s="1646"/>
      <c r="T121" s="1646"/>
      <c r="U121" s="1646"/>
      <c r="V121" s="1646"/>
      <c r="W121" s="1646"/>
      <c r="X121" s="1646"/>
      <c r="Y121" s="1646"/>
      <c r="Z121" s="1646"/>
      <c r="AA121" s="1646"/>
      <c r="AB121" s="1646"/>
      <c r="AC121" s="1646"/>
    </row>
    <row r="122" spans="1:29" ht="15" customHeight="1" x14ac:dyDescent="0.25">
      <c r="A122" s="264"/>
      <c r="B122" s="1666">
        <v>101</v>
      </c>
      <c r="C122" s="2318" t="s">
        <v>2250</v>
      </c>
      <c r="D122" s="2318"/>
      <c r="E122" s="2328" t="s">
        <v>1291</v>
      </c>
      <c r="F122" s="2328"/>
      <c r="G122" s="2328"/>
      <c r="H122" s="2328"/>
      <c r="I122" s="2328"/>
      <c r="J122" s="2328"/>
      <c r="K122" s="2328"/>
      <c r="L122" s="1682" t="s">
        <v>2354</v>
      </c>
      <c r="M122" s="2344" t="str">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v>
      </c>
      <c r="N122" s="2344"/>
      <c r="O122" s="2344"/>
      <c r="P122" s="264"/>
      <c r="Q122" s="264"/>
      <c r="R122" s="264"/>
      <c r="S122" s="264"/>
      <c r="T122" s="264"/>
      <c r="U122" s="264"/>
      <c r="V122" s="264"/>
      <c r="W122" s="264"/>
      <c r="X122" s="264"/>
      <c r="Y122" s="264"/>
      <c r="Z122" s="264"/>
      <c r="AA122" s="264"/>
      <c r="AB122" s="264"/>
      <c r="AC122" s="264"/>
    </row>
    <row r="123" spans="1:29" x14ac:dyDescent="0.25">
      <c r="A123" s="264"/>
      <c r="B123" s="1666">
        <v>102</v>
      </c>
      <c r="C123" s="2318"/>
      <c r="D123" s="2318"/>
      <c r="E123" s="2318" t="s">
        <v>981</v>
      </c>
      <c r="F123" s="2318"/>
      <c r="G123" s="2318"/>
      <c r="H123" s="2318"/>
      <c r="I123" s="2318"/>
      <c r="J123" s="2318"/>
      <c r="K123" s="2318"/>
      <c r="L123" s="1682" t="s">
        <v>2354</v>
      </c>
      <c r="M123" s="2344" t="str">
        <f>IF(ISBLANK('Ввод исходных данных'!$D186),"-",'Ввод исходных данных'!$D186)</f>
        <v>-</v>
      </c>
      <c r="N123" s="2344"/>
      <c r="O123" s="2344"/>
      <c r="P123" s="264"/>
      <c r="Q123" s="264"/>
      <c r="R123" s="264"/>
      <c r="S123" s="264"/>
      <c r="T123" s="264"/>
      <c r="U123" s="264"/>
      <c r="V123" s="264"/>
      <c r="W123" s="264"/>
      <c r="X123" s="264"/>
      <c r="Y123" s="264"/>
      <c r="Z123" s="264"/>
      <c r="AA123" s="264"/>
      <c r="AB123" s="264"/>
      <c r="AC123" s="264"/>
    </row>
    <row r="124" spans="1:29" ht="15" customHeight="1" x14ac:dyDescent="0.25">
      <c r="A124" s="264"/>
      <c r="B124" s="1666">
        <v>103</v>
      </c>
      <c r="C124" s="2318"/>
      <c r="D124" s="2318"/>
      <c r="E124" s="2318" t="s">
        <v>982</v>
      </c>
      <c r="F124" s="2318"/>
      <c r="G124" s="2318"/>
      <c r="H124" s="2318"/>
      <c r="I124" s="2318"/>
      <c r="J124" s="2318"/>
      <c r="K124" s="2318"/>
      <c r="L124" s="1682" t="s">
        <v>2354</v>
      </c>
      <c r="M124" s="2344" t="str">
        <f>IF(ISBLANK('Ввод исходных данных'!$D187),"-",'Ввод исходных данных'!$D187)</f>
        <v>-</v>
      </c>
      <c r="N124" s="2344"/>
      <c r="O124" s="2344"/>
      <c r="P124" s="264"/>
      <c r="Q124" s="264"/>
      <c r="R124" s="264"/>
      <c r="S124" s="264"/>
      <c r="T124" s="264"/>
      <c r="U124" s="264"/>
      <c r="V124" s="264"/>
      <c r="W124" s="264"/>
      <c r="X124" s="264"/>
      <c r="Y124" s="264"/>
      <c r="Z124" s="264"/>
      <c r="AA124" s="264"/>
      <c r="AB124" s="264"/>
      <c r="AC124" s="264"/>
    </row>
    <row r="125" spans="1:29" x14ac:dyDescent="0.25">
      <c r="A125" s="264"/>
      <c r="B125" s="1666">
        <v>104</v>
      </c>
      <c r="C125" s="2318"/>
      <c r="D125" s="2318"/>
      <c r="E125" s="2318" t="s">
        <v>2251</v>
      </c>
      <c r="F125" s="2318"/>
      <c r="G125" s="2318"/>
      <c r="H125" s="2318"/>
      <c r="I125" s="2318"/>
      <c r="J125" s="2318"/>
      <c r="K125" s="2318"/>
      <c r="L125" s="1682" t="s">
        <v>2354</v>
      </c>
      <c r="M125" s="2344" t="str">
        <f>IF(ISBLANK('Ввод исходных данных'!$D188),"-",'Ввод исходных данных'!$D188)</f>
        <v>-</v>
      </c>
      <c r="N125" s="2344"/>
      <c r="O125" s="2344"/>
      <c r="P125" s="264"/>
      <c r="Q125" s="264"/>
      <c r="R125" s="264"/>
      <c r="S125" s="264"/>
      <c r="T125" s="264"/>
      <c r="U125" s="264"/>
      <c r="V125" s="264"/>
      <c r="W125" s="264"/>
      <c r="X125" s="264"/>
      <c r="Y125" s="264"/>
      <c r="Z125" s="264"/>
      <c r="AA125" s="264"/>
      <c r="AB125" s="264"/>
      <c r="AC125" s="264"/>
    </row>
    <row r="126" spans="1:29" ht="30" customHeight="1" x14ac:dyDescent="0.25">
      <c r="A126" s="264"/>
      <c r="B126" s="1666">
        <v>105</v>
      </c>
      <c r="C126" s="2318" t="s">
        <v>2252</v>
      </c>
      <c r="D126" s="2318"/>
      <c r="E126" s="2318" t="s">
        <v>2253</v>
      </c>
      <c r="F126" s="2318"/>
      <c r="G126" s="2318"/>
      <c r="H126" s="2318"/>
      <c r="I126" s="2318"/>
      <c r="J126" s="2318"/>
      <c r="K126" s="2318"/>
      <c r="L126" s="1682" t="s">
        <v>2212</v>
      </c>
      <c r="M126" s="2344" t="str">
        <f>IF(ISBLANK('Ввод исходных данных'!$D192),"-",'Ввод исходных данных'!$D192)</f>
        <v>-</v>
      </c>
      <c r="N126" s="2344"/>
      <c r="O126" s="2344"/>
      <c r="P126" s="264"/>
      <c r="Q126" s="264"/>
      <c r="R126" s="264"/>
      <c r="S126" s="264"/>
      <c r="T126" s="264"/>
      <c r="U126" s="264"/>
      <c r="V126" s="264"/>
      <c r="W126" s="264"/>
      <c r="X126" s="264"/>
      <c r="Y126" s="264"/>
      <c r="Z126" s="264"/>
      <c r="AA126" s="264"/>
      <c r="AB126" s="264"/>
      <c r="AC126" s="264"/>
    </row>
    <row r="127" spans="1:29" ht="30" customHeight="1" x14ac:dyDescent="0.25">
      <c r="A127" s="264"/>
      <c r="B127" s="1666">
        <v>106</v>
      </c>
      <c r="C127" s="2318"/>
      <c r="D127" s="2318"/>
      <c r="E127" s="2318" t="s">
        <v>2254</v>
      </c>
      <c r="F127" s="2318"/>
      <c r="G127" s="2318"/>
      <c r="H127" s="2318"/>
      <c r="I127" s="2318"/>
      <c r="J127" s="2318"/>
      <c r="K127" s="2318"/>
      <c r="L127" s="1682" t="s">
        <v>2212</v>
      </c>
      <c r="M127" s="2344" t="str">
        <f>IF(ISBLANK('Ввод исходных данных'!$D193),"-",'Ввод исходных данных'!$D193)</f>
        <v>-</v>
      </c>
      <c r="N127" s="2344"/>
      <c r="O127" s="2344"/>
      <c r="P127" s="264"/>
      <c r="Q127" s="264"/>
      <c r="R127" s="264"/>
      <c r="S127" s="264"/>
      <c r="T127" s="264"/>
      <c r="U127" s="264"/>
      <c r="V127" s="264"/>
      <c r="W127" s="264"/>
      <c r="X127" s="264"/>
      <c r="Y127" s="264"/>
      <c r="Z127" s="264"/>
      <c r="AA127" s="264"/>
      <c r="AB127" s="264"/>
      <c r="AC127" s="264"/>
    </row>
    <row r="128" spans="1:29" x14ac:dyDescent="0.25">
      <c r="A128" s="264"/>
      <c r="B128" s="1666">
        <v>107</v>
      </c>
      <c r="C128" s="2318" t="s">
        <v>978</v>
      </c>
      <c r="D128" s="2318"/>
      <c r="E128" s="2318" t="s">
        <v>2255</v>
      </c>
      <c r="F128" s="2318"/>
      <c r="G128" s="2318"/>
      <c r="H128" s="2318"/>
      <c r="I128" s="2318"/>
      <c r="J128" s="2318"/>
      <c r="K128" s="2318"/>
      <c r="L128" s="1682" t="s">
        <v>2212</v>
      </c>
      <c r="M128" s="2344">
        <f>IF(ISBLANK('Ввод исходных данных'!$D197),"-",'Ввод исходных данных'!$D197)</f>
        <v>95</v>
      </c>
      <c r="N128" s="2344"/>
      <c r="O128" s="2344"/>
      <c r="P128" s="264"/>
      <c r="Q128" s="264"/>
      <c r="R128" s="264"/>
      <c r="S128" s="264"/>
      <c r="T128" s="264"/>
      <c r="U128" s="264"/>
      <c r="V128" s="264"/>
      <c r="W128" s="264"/>
      <c r="X128" s="264"/>
      <c r="Y128" s="264"/>
      <c r="Z128" s="264"/>
      <c r="AA128" s="264"/>
      <c r="AB128" s="264"/>
      <c r="AC128" s="264"/>
    </row>
    <row r="129" spans="1:29" x14ac:dyDescent="0.25">
      <c r="A129" s="264"/>
      <c r="B129" s="1666">
        <v>108</v>
      </c>
      <c r="C129" s="2318"/>
      <c r="D129" s="2318"/>
      <c r="E129" s="2318" t="s">
        <v>2256</v>
      </c>
      <c r="F129" s="2318"/>
      <c r="G129" s="2318"/>
      <c r="H129" s="2318"/>
      <c r="I129" s="2318"/>
      <c r="J129" s="2318"/>
      <c r="K129" s="2318"/>
      <c r="L129" s="1682" t="s">
        <v>2212</v>
      </c>
      <c r="M129" s="2344">
        <f>IF(ISBLANK('Ввод исходных данных'!$D198),"-",'Ввод исходных данных'!$D198)</f>
        <v>70</v>
      </c>
      <c r="N129" s="2344"/>
      <c r="O129" s="2344"/>
      <c r="P129" s="264"/>
      <c r="Q129" s="264"/>
      <c r="R129" s="264"/>
      <c r="S129" s="264"/>
      <c r="T129" s="264"/>
      <c r="U129" s="264"/>
      <c r="V129" s="264"/>
      <c r="W129" s="264"/>
      <c r="X129" s="264"/>
      <c r="Y129" s="264"/>
      <c r="Z129" s="264"/>
      <c r="AA129" s="264"/>
      <c r="AB129" s="264"/>
      <c r="AC129" s="264"/>
    </row>
    <row r="130" spans="1:29" ht="15" customHeight="1" x14ac:dyDescent="0.25">
      <c r="A130" s="264"/>
      <c r="B130" s="1666">
        <v>109</v>
      </c>
      <c r="C130" s="2318" t="s">
        <v>2257</v>
      </c>
      <c r="D130" s="2318"/>
      <c r="E130" s="2318"/>
      <c r="F130" s="2318"/>
      <c r="G130" s="2318"/>
      <c r="H130" s="2318"/>
      <c r="I130" s="2318"/>
      <c r="J130" s="2318"/>
      <c r="K130" s="2318"/>
      <c r="L130" s="1682" t="s">
        <v>746</v>
      </c>
      <c r="M130" s="2344" t="str">
        <f>IFERROR(CHOOSE('Система ГВС'!$F$3,"централизованная","децентрализованная"),"-")</f>
        <v>централизованная</v>
      </c>
      <c r="N130" s="2344"/>
      <c r="O130" s="2344"/>
      <c r="P130" s="264"/>
      <c r="Q130" s="264"/>
      <c r="R130" s="264"/>
      <c r="S130" s="264"/>
      <c r="T130" s="264"/>
      <c r="U130" s="264"/>
      <c r="V130" s="264"/>
      <c r="W130" s="264"/>
      <c r="X130" s="264"/>
      <c r="Y130" s="264"/>
      <c r="Z130" s="264"/>
      <c r="AA130" s="264"/>
      <c r="AB130" s="264"/>
      <c r="AC130" s="264"/>
    </row>
    <row r="131" spans="1:29" ht="30" customHeight="1" x14ac:dyDescent="0.25">
      <c r="A131" s="264"/>
      <c r="B131" s="1666">
        <v>110</v>
      </c>
      <c r="C131" s="2318" t="s">
        <v>2258</v>
      </c>
      <c r="D131" s="2318"/>
      <c r="E131" s="2318"/>
      <c r="F131" s="2318"/>
      <c r="G131" s="2318"/>
      <c r="H131" s="2318"/>
      <c r="I131" s="2318"/>
      <c r="J131" s="2318"/>
      <c r="K131" s="2318"/>
      <c r="L131" s="1682" t="s">
        <v>746</v>
      </c>
      <c r="M131" s="2345" t="str">
        <f>IFERROR(CHOOSE('Система ГВС'!$G$18,
                                                   "открытая",
                                                   "закрытая с приготовлением горячей воды на ЦТП",
                                                   "закрытая с приготовлением горячей воды на ИТП"),"-")</f>
        <v>открытая</v>
      </c>
      <c r="N131" s="2345"/>
      <c r="O131" s="2345"/>
      <c r="P131" s="264"/>
      <c r="Q131" s="264"/>
      <c r="R131" s="264"/>
      <c r="S131" s="264"/>
      <c r="T131" s="264"/>
      <c r="U131" s="264"/>
      <c r="V131" s="264"/>
      <c r="W131" s="264"/>
      <c r="X131" s="264"/>
      <c r="Y131" s="264"/>
      <c r="Z131" s="264"/>
      <c r="AA131" s="264"/>
      <c r="AB131" s="264"/>
      <c r="AC131" s="264"/>
    </row>
    <row r="132" spans="1:29" ht="30" customHeight="1" x14ac:dyDescent="0.25">
      <c r="A132" s="264"/>
      <c r="B132" s="1666">
        <v>111</v>
      </c>
      <c r="C132" s="2361" t="s">
        <v>2259</v>
      </c>
      <c r="D132" s="2361"/>
      <c r="E132" s="2361"/>
      <c r="F132" s="2361"/>
      <c r="G132" s="2361"/>
      <c r="H132" s="2361"/>
      <c r="I132" s="2361"/>
      <c r="J132" s="2361"/>
      <c r="K132" s="2361"/>
      <c r="L132" s="1682" t="s">
        <v>746</v>
      </c>
      <c r="M132" s="2345" t="str">
        <f>IFERROR(CHOOSE('Система отопления'!$B$30,
                                                   "совместный учет",
                                                   "раздельный учет","-"),"-")</f>
        <v>совместный учет</v>
      </c>
      <c r="N132" s="2345"/>
      <c r="O132" s="2345"/>
      <c r="P132" s="264"/>
      <c r="Q132" s="264"/>
      <c r="R132" s="264"/>
      <c r="S132" s="264"/>
      <c r="T132" s="264"/>
      <c r="U132" s="264"/>
      <c r="V132" s="264"/>
      <c r="W132" s="264"/>
      <c r="X132" s="264"/>
      <c r="Y132" s="264"/>
      <c r="Z132" s="264"/>
      <c r="AA132" s="264"/>
      <c r="AB132" s="264"/>
      <c r="AC132" s="264"/>
    </row>
    <row r="133" spans="1:29" ht="30" customHeight="1" x14ac:dyDescent="0.25">
      <c r="A133" s="264"/>
      <c r="B133" s="1666">
        <v>112</v>
      </c>
      <c r="C133" s="2361" t="s">
        <v>2260</v>
      </c>
      <c r="D133" s="2361"/>
      <c r="E133" s="2361"/>
      <c r="F133" s="2361"/>
      <c r="G133" s="2361"/>
      <c r="H133" s="2361"/>
      <c r="I133" s="2361"/>
      <c r="J133" s="2361"/>
      <c r="K133" s="2361"/>
      <c r="L133" s="1682" t="s">
        <v>746</v>
      </c>
      <c r="M133" s="2344" t="str">
        <f>IF(OR(ISBLANK('Ввод исходных данных'!$D202),ISBLANK('Ввод исходных данных'!$E202)),"-",'Ввод исходных данных'!$D202&amp;" "&amp;'Ввод исходных данных'!$E202&amp;" г.")</f>
        <v>август 2018 г.</v>
      </c>
      <c r="N133" s="2344"/>
      <c r="O133" s="2344"/>
      <c r="P133" s="264"/>
      <c r="Q133" s="264"/>
      <c r="R133" s="264"/>
      <c r="S133" s="264"/>
      <c r="T133" s="264"/>
      <c r="U133" s="264"/>
      <c r="V133" s="264"/>
      <c r="W133" s="264"/>
      <c r="X133" s="264"/>
      <c r="Y133" s="264"/>
      <c r="Z133" s="264"/>
      <c r="AA133" s="264"/>
      <c r="AB133" s="264"/>
      <c r="AC133" s="264"/>
    </row>
    <row r="134" spans="1:29" ht="15" customHeight="1" x14ac:dyDescent="0.25">
      <c r="A134" s="264"/>
      <c r="B134" s="1666">
        <v>113</v>
      </c>
      <c r="C134" s="2361" t="s">
        <v>2466</v>
      </c>
      <c r="D134" s="2361"/>
      <c r="E134" s="2361"/>
      <c r="F134" s="2361"/>
      <c r="G134" s="2361"/>
      <c r="H134" s="2361"/>
      <c r="I134" s="2361"/>
      <c r="J134" s="2361"/>
      <c r="K134" s="2361"/>
      <c r="L134" s="1682" t="s">
        <v>746</v>
      </c>
      <c r="M134" s="2362" t="str">
        <f>IF(ISBLANK('Ввод исходных данных'!$E206),"-",'Ввод исходных данных'!$E206)</f>
        <v>-</v>
      </c>
      <c r="N134" s="2362"/>
      <c r="O134" s="2362"/>
      <c r="P134" s="264"/>
      <c r="Q134" s="264"/>
      <c r="R134" s="264"/>
      <c r="S134" s="264"/>
      <c r="T134" s="264"/>
      <c r="U134" s="264"/>
      <c r="V134" s="264"/>
      <c r="W134" s="264"/>
      <c r="X134" s="264"/>
      <c r="Y134" s="264"/>
      <c r="Z134" s="264"/>
      <c r="AA134" s="264"/>
      <c r="AB134" s="264"/>
      <c r="AC134" s="264"/>
    </row>
    <row r="135" spans="1:29" ht="15" customHeight="1" x14ac:dyDescent="0.25">
      <c r="A135" s="264"/>
      <c r="B135" s="1666">
        <v>114</v>
      </c>
      <c r="C135" s="2361" t="s">
        <v>2261</v>
      </c>
      <c r="D135" s="2361"/>
      <c r="E135" s="2361"/>
      <c r="F135" s="2361"/>
      <c r="G135" s="2361"/>
      <c r="H135" s="2361"/>
      <c r="I135" s="2361"/>
      <c r="J135" s="2361"/>
      <c r="K135" s="2361"/>
      <c r="L135" s="1682" t="s">
        <v>746</v>
      </c>
      <c r="M135" s="2363">
        <f>IF(ISBLANK('Ввод исходных данных'!$D207),"-",'Ввод исходных данных'!$D207)</f>
        <v>42997</v>
      </c>
      <c r="N135" s="2363"/>
      <c r="O135" s="2363"/>
      <c r="P135" s="264"/>
      <c r="Q135" s="264"/>
      <c r="R135" s="264"/>
      <c r="S135" s="264"/>
      <c r="T135" s="264"/>
      <c r="U135" s="264"/>
      <c r="V135" s="264"/>
      <c r="W135" s="264"/>
      <c r="X135" s="264"/>
      <c r="Y135" s="264"/>
      <c r="Z135" s="264"/>
      <c r="AA135" s="264"/>
      <c r="AB135" s="264"/>
      <c r="AC135" s="264"/>
    </row>
    <row r="136" spans="1:29" ht="15" customHeight="1" x14ac:dyDescent="0.25">
      <c r="A136" s="264"/>
      <c r="B136" s="1666">
        <v>115</v>
      </c>
      <c r="C136" s="2361" t="s">
        <v>2262</v>
      </c>
      <c r="D136" s="2361"/>
      <c r="E136" s="2361"/>
      <c r="F136" s="2361"/>
      <c r="G136" s="2361"/>
      <c r="H136" s="2361"/>
      <c r="I136" s="2361"/>
      <c r="J136" s="2361"/>
      <c r="K136" s="2361"/>
      <c r="L136" s="1682" t="s">
        <v>746</v>
      </c>
      <c r="M136" s="2363">
        <f>IF(ISBLANK('Ввод исходных данных'!$E207),"-",'Ввод исходных данных'!$E207)</f>
        <v>43233</v>
      </c>
      <c r="N136" s="2363"/>
      <c r="O136" s="2363"/>
      <c r="P136" s="264"/>
      <c r="Q136" s="264"/>
      <c r="R136" s="264"/>
      <c r="S136" s="264"/>
      <c r="T136" s="264"/>
      <c r="U136" s="264"/>
      <c r="V136" s="264"/>
      <c r="W136" s="264"/>
      <c r="X136" s="264"/>
      <c r="Y136" s="264"/>
      <c r="Z136" s="264"/>
      <c r="AA136" s="264"/>
      <c r="AB136" s="264"/>
      <c r="AC136" s="264"/>
    </row>
    <row r="137" spans="1:29" ht="15" customHeight="1" x14ac:dyDescent="0.25">
      <c r="A137" s="264"/>
      <c r="B137" s="1666">
        <v>116</v>
      </c>
      <c r="C137" s="2361" t="s">
        <v>2263</v>
      </c>
      <c r="D137" s="2361"/>
      <c r="E137" s="2361"/>
      <c r="F137" s="2361"/>
      <c r="G137" s="2361"/>
      <c r="H137" s="2361"/>
      <c r="I137" s="2361"/>
      <c r="J137" s="2361"/>
      <c r="K137" s="2361"/>
      <c r="L137" s="1682" t="s">
        <v>2355</v>
      </c>
      <c r="M137" s="2364">
        <f>IF(ISBLANK('Ввод исходных данных'!$D302),"-",'Ввод исходных данных'!$D302)</f>
        <v>1809.85</v>
      </c>
      <c r="N137" s="2364"/>
      <c r="O137" s="2364"/>
      <c r="P137" s="264"/>
      <c r="Q137" s="264"/>
      <c r="R137" s="264"/>
      <c r="S137" s="264"/>
      <c r="T137" s="264"/>
      <c r="U137" s="264"/>
      <c r="V137" s="264"/>
      <c r="W137" s="264"/>
      <c r="X137" s="264"/>
      <c r="Y137" s="264"/>
      <c r="Z137" s="264"/>
      <c r="AA137" s="264"/>
      <c r="AB137" s="264"/>
      <c r="AC137" s="264"/>
    </row>
    <row r="138" spans="1:29" ht="15" customHeight="1" x14ac:dyDescent="0.25">
      <c r="A138" s="264"/>
      <c r="B138" s="1666">
        <v>117</v>
      </c>
      <c r="C138" s="2361" t="s">
        <v>2264</v>
      </c>
      <c r="D138" s="2361"/>
      <c r="E138" s="2361"/>
      <c r="F138" s="2361"/>
      <c r="G138" s="2361"/>
      <c r="H138" s="2361"/>
      <c r="I138" s="2361"/>
      <c r="J138" s="2361"/>
      <c r="K138" s="2361"/>
      <c r="L138" s="1689" t="s">
        <v>2356</v>
      </c>
      <c r="M138" s="2364">
        <f>IF(ISBLANK('Ввод исходных данных'!$E302),"-",'Ввод исходных данных'!$E302)</f>
        <v>3.79</v>
      </c>
      <c r="N138" s="2364"/>
      <c r="O138" s="2364"/>
      <c r="P138" s="264"/>
      <c r="Q138" s="264"/>
      <c r="R138" s="264"/>
      <c r="S138" s="264"/>
      <c r="T138" s="264"/>
      <c r="U138" s="264"/>
      <c r="V138" s="264"/>
      <c r="W138" s="264"/>
      <c r="X138" s="264"/>
      <c r="Y138" s="264"/>
      <c r="Z138" s="264"/>
      <c r="AA138" s="264"/>
      <c r="AB138" s="264"/>
      <c r="AC138" s="264"/>
    </row>
    <row r="139" spans="1:29" s="1683" customFormat="1" ht="30" customHeight="1" x14ac:dyDescent="0.25">
      <c r="A139" s="264"/>
      <c r="B139" s="2334" t="s">
        <v>2265</v>
      </c>
      <c r="C139" s="2334"/>
      <c r="D139" s="2334"/>
      <c r="E139" s="2334"/>
      <c r="F139" s="2334"/>
      <c r="G139" s="2334"/>
      <c r="H139" s="2334"/>
      <c r="I139" s="2334"/>
      <c r="J139" s="2334"/>
      <c r="K139" s="2334"/>
      <c r="L139" s="2334"/>
      <c r="M139" s="2334"/>
      <c r="N139" s="2334"/>
      <c r="O139" s="2334"/>
      <c r="P139" s="264"/>
      <c r="Q139" s="264"/>
      <c r="R139" s="264"/>
      <c r="S139" s="264"/>
      <c r="T139" s="264"/>
      <c r="U139" s="264"/>
      <c r="V139" s="264"/>
      <c r="W139" s="264"/>
      <c r="X139" s="264"/>
      <c r="Y139" s="264"/>
      <c r="Z139" s="264"/>
      <c r="AA139" s="264"/>
      <c r="AB139" s="264"/>
      <c r="AC139" s="264"/>
    </row>
    <row r="140" spans="1:29" s="1681" customFormat="1" ht="25.5" customHeight="1" x14ac:dyDescent="0.25">
      <c r="A140" s="1646"/>
      <c r="B140" s="2365" t="s">
        <v>2266</v>
      </c>
      <c r="C140" s="2365"/>
      <c r="D140" s="2353" t="s">
        <v>2267</v>
      </c>
      <c r="E140" s="2353" t="s">
        <v>2268</v>
      </c>
      <c r="F140" s="2353"/>
      <c r="G140" s="2353"/>
      <c r="H140" s="2353" t="s">
        <v>2269</v>
      </c>
      <c r="I140" s="2353"/>
      <c r="J140" s="2353"/>
      <c r="K140" s="2353" t="s">
        <v>2270</v>
      </c>
      <c r="L140" s="2353"/>
      <c r="M140" s="2353"/>
      <c r="N140" s="2353"/>
      <c r="O140" s="2353"/>
      <c r="P140" s="1646"/>
      <c r="Q140" s="1646"/>
      <c r="R140" s="1646"/>
      <c r="S140" s="1646"/>
      <c r="T140" s="1646"/>
      <c r="U140" s="1646"/>
      <c r="V140" s="1646"/>
      <c r="W140" s="1646"/>
      <c r="X140" s="1646"/>
      <c r="Y140" s="1646"/>
      <c r="Z140" s="1646"/>
      <c r="AA140" s="1646"/>
      <c r="AB140" s="1646"/>
      <c r="AC140" s="1646"/>
    </row>
    <row r="141" spans="1:29" s="1681" customFormat="1" ht="63.75" customHeight="1" x14ac:dyDescent="0.25">
      <c r="A141" s="1646"/>
      <c r="B141" s="2365" t="s">
        <v>1769</v>
      </c>
      <c r="C141" s="2353" t="s">
        <v>979</v>
      </c>
      <c r="D141" s="2353"/>
      <c r="E141" s="1671" t="s">
        <v>1291</v>
      </c>
      <c r="F141" s="1672" t="s">
        <v>2271</v>
      </c>
      <c r="G141" s="1673" t="s">
        <v>2272</v>
      </c>
      <c r="H141" s="1677" t="s">
        <v>1291</v>
      </c>
      <c r="I141" s="1672" t="s">
        <v>2347</v>
      </c>
      <c r="J141" s="1673" t="s">
        <v>2273</v>
      </c>
      <c r="K141" s="1677" t="s">
        <v>1291</v>
      </c>
      <c r="L141" s="1672" t="s">
        <v>986</v>
      </c>
      <c r="M141" s="1672" t="s">
        <v>2348</v>
      </c>
      <c r="N141" s="1672" t="s">
        <v>2349</v>
      </c>
      <c r="O141" s="1673" t="s">
        <v>2350</v>
      </c>
      <c r="P141" s="1646"/>
      <c r="Q141" s="1646"/>
      <c r="R141" s="1646"/>
      <c r="S141" s="1646"/>
      <c r="T141" s="1646"/>
      <c r="U141" s="1646"/>
      <c r="V141" s="1646"/>
      <c r="W141" s="1646"/>
      <c r="X141" s="1646"/>
      <c r="Y141" s="1646"/>
      <c r="Z141" s="1646"/>
      <c r="AA141" s="1646"/>
      <c r="AB141" s="1646"/>
      <c r="AC141" s="1646"/>
    </row>
    <row r="142" spans="1:29" s="1685" customFormat="1" ht="30" x14ac:dyDescent="0.25">
      <c r="A142" s="1308"/>
      <c r="B142" s="2365"/>
      <c r="C142" s="2353"/>
      <c r="D142" s="1666" t="s">
        <v>2212</v>
      </c>
      <c r="E142" s="1674" t="s">
        <v>1167</v>
      </c>
      <c r="F142" s="1675" t="s">
        <v>1167</v>
      </c>
      <c r="G142" s="1676" t="s">
        <v>1167</v>
      </c>
      <c r="H142" s="1678" t="s">
        <v>2274</v>
      </c>
      <c r="I142" s="1679" t="s">
        <v>2274</v>
      </c>
      <c r="J142" s="1680" t="s">
        <v>2274</v>
      </c>
      <c r="K142" s="1678" t="s">
        <v>2275</v>
      </c>
      <c r="L142" s="1679" t="s">
        <v>2275</v>
      </c>
      <c r="M142" s="1679" t="s">
        <v>2275</v>
      </c>
      <c r="N142" s="1679" t="s">
        <v>2275</v>
      </c>
      <c r="O142" s="1680" t="s">
        <v>2275</v>
      </c>
      <c r="P142" s="1308"/>
      <c r="Q142" s="1308"/>
      <c r="R142" s="1308"/>
      <c r="S142" s="1308"/>
      <c r="T142" s="1308"/>
      <c r="U142" s="1308"/>
      <c r="V142" s="1308"/>
      <c r="W142" s="1308"/>
      <c r="X142" s="1308"/>
      <c r="Y142" s="1308"/>
      <c r="Z142" s="1308"/>
      <c r="AA142" s="1308"/>
      <c r="AB142" s="1308"/>
      <c r="AC142" s="1308"/>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2018</v>
      </c>
      <c r="C143" s="1662" t="s">
        <v>488</v>
      </c>
      <c r="D143" s="1761">
        <f>IF(ISBLANK('Ввод исходных данных'!$E273),"-",'Ввод исходных данных'!$E273)</f>
        <v>-11.2</v>
      </c>
      <c r="E143" s="1762">
        <f>IF(ISBLANK('Ввод исходных данных'!$D217),"-",'Ввод исходных данных'!$D217)</f>
        <v>185.15</v>
      </c>
      <c r="F143" s="1763" t="str">
        <f>IF(ISBLANK('Ввод исходных данных'!$E217),"-",'Ввод исходных данных'!$E217)</f>
        <v>-</v>
      </c>
      <c r="G143" s="1764" t="str">
        <f>IF(ISBLANK('Ввод исходных данных'!$F217),"-",'Ввод исходных данных'!$F217)</f>
        <v>-</v>
      </c>
      <c r="H143" s="1762" t="str">
        <f>IF(ISBLANK('Ввод исходных данных'!$D236),"-",'Ввод исходных данных'!$D236)</f>
        <v>-</v>
      </c>
      <c r="I143" s="1763" t="str">
        <f>IF(ISBLANK('Ввод исходных данных'!$E236),"-",'Ввод исходных данных'!$E236)</f>
        <v>-</v>
      </c>
      <c r="J143" s="1764">
        <f>IF(ISBLANK('Ввод исходных данных'!$F236),"-",'Ввод исходных данных'!$F236)</f>
        <v>278.10000000000002</v>
      </c>
      <c r="K143" s="1762">
        <f>IF(ISBLANK('Ввод исходных данных'!$F253),"-",'Ввод исходных данных'!$F253)</f>
        <v>2.9529999999999998</v>
      </c>
      <c r="L143" s="1763" t="str">
        <f>IF(ISBLANK('Ввод исходных данных'!$G253),"-",'Ввод исходных данных'!$G253)</f>
        <v>-</v>
      </c>
      <c r="M143" s="1763" t="str">
        <f>IF(ISBLANK('Ввод исходных данных'!$H253),"-",'Ввод исходных данных'!$H253)</f>
        <v>-</v>
      </c>
      <c r="N143" s="1763" t="str">
        <f>IF(ISBLANK('Ввод исходных данных'!$I253),"-",'Ввод исходных данных'!$I253)</f>
        <v>-</v>
      </c>
      <c r="O143" s="1764"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2018</v>
      </c>
      <c r="C144" s="1662" t="s">
        <v>489</v>
      </c>
      <c r="D144" s="1761">
        <f>IF(ISBLANK('Ввод исходных данных'!$E274),"-",'Ввод исходных данных'!$E274)</f>
        <v>-11.9</v>
      </c>
      <c r="E144" s="1762">
        <f>IF(ISBLANK('Ввод исходных данных'!$D218),"-",'Ввод исходных данных'!$D218)</f>
        <v>164.5</v>
      </c>
      <c r="F144" s="1763" t="str">
        <f>IF(ISBLANK('Ввод исходных данных'!$E218),"-",'Ввод исходных данных'!$E218)</f>
        <v>-</v>
      </c>
      <c r="G144" s="1764" t="str">
        <f>IF(ISBLANK('Ввод исходных данных'!$F218),"-",'Ввод исходных данных'!$F218)</f>
        <v>-</v>
      </c>
      <c r="H144" s="1762" t="str">
        <f>IF(ISBLANK('Ввод исходных данных'!$D237),"-",'Ввод исходных данных'!$D237)</f>
        <v>-</v>
      </c>
      <c r="I144" s="1763" t="str">
        <f>IF(ISBLANK('Ввод исходных данных'!$E237),"-",'Ввод исходных данных'!$E237)</f>
        <v>-</v>
      </c>
      <c r="J144" s="1764">
        <f>IF(ISBLANK('Ввод исходных данных'!$F237),"-",'Ввод исходных данных'!$F237)</f>
        <v>250.9</v>
      </c>
      <c r="K144" s="1762">
        <f>IF(ISBLANK('Ввод исходных данных'!$F254),"-",'Ввод исходных данных'!$F254)</f>
        <v>3.4489999999999998</v>
      </c>
      <c r="L144" s="1763" t="str">
        <f>IF(ISBLANK('Ввод исходных данных'!$G254),"-",'Ввод исходных данных'!$G254)</f>
        <v>-</v>
      </c>
      <c r="M144" s="1763" t="str">
        <f>IF(ISBLANK('Ввод исходных данных'!$H254),"-",'Ввод исходных данных'!$H254)</f>
        <v>-</v>
      </c>
      <c r="N144" s="1763" t="str">
        <f>IF(ISBLANK('Ввод исходных данных'!$I254),"-",'Ввод исходных данных'!$I254)</f>
        <v>-</v>
      </c>
      <c r="O144" s="1764"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2018</v>
      </c>
      <c r="C145" s="1662" t="s">
        <v>490</v>
      </c>
      <c r="D145" s="1761">
        <f>IF(ISBLANK('Ввод исходных данных'!$E275),"-",'Ввод исходных данных'!$E275)</f>
        <v>-8.9</v>
      </c>
      <c r="E145" s="1762">
        <f>IF(ISBLANK('Ввод исходных данных'!$D219),"-",'Ввод исходных данных'!$D219)</f>
        <v>166.71</v>
      </c>
      <c r="F145" s="1763" t="str">
        <f>IF(ISBLANK('Ввод исходных данных'!$E219),"-",'Ввод исходных данных'!$E219)</f>
        <v>-</v>
      </c>
      <c r="G145" s="1764" t="str">
        <f>IF(ISBLANK('Ввод исходных данных'!$F219),"-",'Ввод исходных данных'!$F219)</f>
        <v>-</v>
      </c>
      <c r="H145" s="1762" t="str">
        <f>IF(ISBLANK('Ввод исходных данных'!$D238),"-",'Ввод исходных данных'!$D238)</f>
        <v>-</v>
      </c>
      <c r="I145" s="1763" t="str">
        <f>IF(ISBLANK('Ввод исходных данных'!$E238),"-",'Ввод исходных данных'!$E238)</f>
        <v>-</v>
      </c>
      <c r="J145" s="1764">
        <f>IF(ISBLANK('Ввод исходных данных'!$F238),"-",'Ввод исходных данных'!$F238)</f>
        <v>276.8</v>
      </c>
      <c r="K145" s="1762">
        <f>IF(ISBLANK('Ввод исходных данных'!$F255),"-",'Ввод исходных данных'!$F255)</f>
        <v>1E-3</v>
      </c>
      <c r="L145" s="1763" t="str">
        <f>IF(ISBLANK('Ввод исходных данных'!$G255),"-",'Ввод исходных данных'!$G255)</f>
        <v>-</v>
      </c>
      <c r="M145" s="1763" t="str">
        <f>IF(ISBLANK('Ввод исходных данных'!$H255),"-",'Ввод исходных данных'!$H255)</f>
        <v>-</v>
      </c>
      <c r="N145" s="1763" t="str">
        <f>IF(ISBLANK('Ввод исходных данных'!$I255),"-",'Ввод исходных данных'!$I255)</f>
        <v>-</v>
      </c>
      <c r="O145" s="1764"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2018</v>
      </c>
      <c r="C146" s="1662" t="s">
        <v>491</v>
      </c>
      <c r="D146" s="1761">
        <f>IF(ISBLANK('Ввод исходных данных'!$E276),"-",'Ввод исходных данных'!$E276)</f>
        <v>2.6</v>
      </c>
      <c r="E146" s="1762">
        <f>IF(ISBLANK('Ввод исходных данных'!$D220),"-",'Ввод исходных данных'!$D220)</f>
        <v>136.75</v>
      </c>
      <c r="F146" s="1763" t="str">
        <f>IF(ISBLANK('Ввод исходных данных'!$E220),"-",'Ввод исходных данных'!$E220)</f>
        <v>-</v>
      </c>
      <c r="G146" s="1764" t="str">
        <f>IF(ISBLANK('Ввод исходных данных'!$F220),"-",'Ввод исходных данных'!$F220)</f>
        <v>-</v>
      </c>
      <c r="H146" s="1762" t="str">
        <f>IF(ISBLANK('Ввод исходных данных'!$D239),"-",'Ввод исходных данных'!$D239)</f>
        <v>-</v>
      </c>
      <c r="I146" s="1763" t="str">
        <f>IF(ISBLANK('Ввод исходных данных'!$E239),"-",'Ввод исходных данных'!$E239)</f>
        <v>-</v>
      </c>
      <c r="J146" s="1764">
        <f>IF(ISBLANK('Ввод исходных данных'!$F239),"-",'Ввод исходных данных'!$F239)</f>
        <v>254.2</v>
      </c>
      <c r="K146" s="1762">
        <f>IF(ISBLANK('Ввод исходных данных'!$F256),"-",'Ввод исходных данных'!$F256)</f>
        <v>3.79</v>
      </c>
      <c r="L146" s="1763" t="str">
        <f>IF(ISBLANK('Ввод исходных данных'!$G256),"-",'Ввод исходных данных'!$G256)</f>
        <v>-</v>
      </c>
      <c r="M146" s="1763" t="str">
        <f>IF(ISBLANK('Ввод исходных данных'!$H256),"-",'Ввод исходных данных'!$H256)</f>
        <v>-</v>
      </c>
      <c r="N146" s="1763" t="str">
        <f>IF(ISBLANK('Ввод исходных данных'!$I256),"-",'Ввод исходных данных'!$I256)</f>
        <v>-</v>
      </c>
      <c r="O146" s="1764"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2018</v>
      </c>
      <c r="C147" s="1662" t="s">
        <v>800</v>
      </c>
      <c r="D147" s="1761">
        <f>IF(ISBLANK('Ввод исходных данных'!$E277),"-",'Ввод исходных данных'!$E277)</f>
        <v>7</v>
      </c>
      <c r="E147" s="1762">
        <f>IF(ISBLANK('Ввод исходных данных'!$D221),"-",'Ввод исходных данных'!$D221)</f>
        <v>65.92</v>
      </c>
      <c r="F147" s="1763" t="str">
        <f>IF(ISBLANK('Ввод исходных данных'!$E221),"-",'Ввод исходных данных'!$E221)</f>
        <v>-</v>
      </c>
      <c r="G147" s="1764" t="str">
        <f>IF(ISBLANK('Ввод исходных данных'!$F221),"-",'Ввод исходных данных'!$F221)</f>
        <v>-</v>
      </c>
      <c r="H147" s="1762" t="str">
        <f>IF(ISBLANK('Ввод исходных данных'!$D240),"-",'Ввод исходных данных'!$D240)</f>
        <v>-</v>
      </c>
      <c r="I147" s="1763" t="str">
        <f>IF(ISBLANK('Ввод исходных данных'!$E240),"-",'Ввод исходных данных'!$E240)</f>
        <v>-</v>
      </c>
      <c r="J147" s="1764">
        <f>IF(ISBLANK('Ввод исходных данных'!$F240),"-",'Ввод исходных данных'!$F240)</f>
        <v>287.60000000000002</v>
      </c>
      <c r="K147" s="1762">
        <f>IF(ISBLANK('Ввод исходных данных'!$F257),"-",'Ввод исходных данных'!$F257)</f>
        <v>0.60099999999999998</v>
      </c>
      <c r="L147" s="1763" t="str">
        <f>IF(ISBLANK('Ввод исходных данных'!$G257),"-",'Ввод исходных данных'!$G257)</f>
        <v>-</v>
      </c>
      <c r="M147" s="1763" t="str">
        <f>IF(ISBLANK('Ввод исходных данных'!$H257),"-",'Ввод исходных данных'!$H257)</f>
        <v>-</v>
      </c>
      <c r="N147" s="1763" t="str">
        <f>IF(ISBLANK('Ввод исходных данных'!$I257),"-",'Ввод исходных данных'!$I257)</f>
        <v>-</v>
      </c>
      <c r="O147" s="1764"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2018</v>
      </c>
      <c r="C148" s="1662" t="s">
        <v>801</v>
      </c>
      <c r="D148" s="1761" t="str">
        <f>IF(ISBLANK('Ввод исходных данных'!$E278),"-",'Ввод исходных данных'!$E278)</f>
        <v>-</v>
      </c>
      <c r="E148" s="1762">
        <f>IF(ISBLANK('Ввод исходных данных'!$D222),"-",'Ввод исходных данных'!$D222)</f>
        <v>28.29</v>
      </c>
      <c r="F148" s="1763" t="str">
        <f>IF(ISBLANK('Ввод исходных данных'!$E222),"-",'Ввод исходных данных'!$E222)</f>
        <v>-</v>
      </c>
      <c r="G148" s="1764" t="str">
        <f>IF(ISBLANK('Ввод исходных данных'!$F222),"-",'Ввод исходных данных'!$F222)</f>
        <v>-</v>
      </c>
      <c r="H148" s="1762" t="str">
        <f>IF(ISBLANK('Ввод исходных данных'!$D241),"-",'Ввод исходных данных'!$D241)</f>
        <v>-</v>
      </c>
      <c r="I148" s="1763" t="str">
        <f>IF(ISBLANK('Ввод исходных данных'!$E241),"-",'Ввод исходных данных'!$E241)</f>
        <v>-</v>
      </c>
      <c r="J148" s="1764">
        <f>IF(ISBLANK('Ввод исходных данных'!$F241),"-",'Ввод исходных данных'!$F241)</f>
        <v>251.9</v>
      </c>
      <c r="K148" s="1762">
        <f>IF(ISBLANK('Ввод исходных данных'!$F258),"-",'Ввод исходных данных'!$F258)</f>
        <v>1.6830000000000001</v>
      </c>
      <c r="L148" s="1763" t="str">
        <f>IF(ISBLANK('Ввод исходных данных'!$G258),"-",'Ввод исходных данных'!$G258)</f>
        <v>-</v>
      </c>
      <c r="M148" s="1763" t="str">
        <f>IF(ISBLANK('Ввод исходных данных'!$H258),"-",'Ввод исходных данных'!$H258)</f>
        <v>-</v>
      </c>
      <c r="N148" s="1763" t="str">
        <f>IF(ISBLANK('Ввод исходных данных'!$I258),"-",'Ввод исходных данных'!$I258)</f>
        <v>-</v>
      </c>
      <c r="O148" s="1764"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2018</v>
      </c>
      <c r="C149" s="1662" t="s">
        <v>802</v>
      </c>
      <c r="D149" s="1761" t="str">
        <f>IF(ISBLANK('Ввод исходных данных'!$E279),"-",'Ввод исходных данных'!$E279)</f>
        <v>-</v>
      </c>
      <c r="E149" s="1762">
        <f>IF(ISBLANK('Ввод исходных данных'!$D223),"-",'Ввод исходных данных'!$D223)</f>
        <v>14.4</v>
      </c>
      <c r="F149" s="1763" t="str">
        <f>IF(ISBLANK('Ввод исходных данных'!$E223),"-",'Ввод исходных данных'!$E223)</f>
        <v>-</v>
      </c>
      <c r="G149" s="1764" t="str">
        <f>IF(ISBLANK('Ввод исходных данных'!$F223),"-",'Ввод исходных данных'!$F223)</f>
        <v>-</v>
      </c>
      <c r="H149" s="1762" t="str">
        <f>IF(ISBLANK('Ввод исходных данных'!$D242),"-",'Ввод исходных данных'!$D242)</f>
        <v>-</v>
      </c>
      <c r="I149" s="1763" t="str">
        <f>IF(ISBLANK('Ввод исходных данных'!$E242),"-",'Ввод исходных данных'!$E242)</f>
        <v>-</v>
      </c>
      <c r="J149" s="1764">
        <f>IF(ISBLANK('Ввод исходных данных'!$F242),"-",'Ввод исходных данных'!$F242)</f>
        <v>123.9</v>
      </c>
      <c r="K149" s="1762">
        <f>IF(ISBLANK('Ввод исходных данных'!$F259),"-",'Ввод исходных данных'!$F259)</f>
        <v>1.9630000000000001</v>
      </c>
      <c r="L149" s="1763" t="str">
        <f>IF(ISBLANK('Ввод исходных данных'!$G259),"-",'Ввод исходных данных'!$G259)</f>
        <v>-</v>
      </c>
      <c r="M149" s="1763" t="str">
        <f>IF(ISBLANK('Ввод исходных данных'!$H259),"-",'Ввод исходных данных'!$H259)</f>
        <v>-</v>
      </c>
      <c r="N149" s="1763" t="str">
        <f>IF(ISBLANK('Ввод исходных данных'!$I259),"-",'Ввод исходных данных'!$I259)</f>
        <v>-</v>
      </c>
      <c r="O149" s="1764"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2018</v>
      </c>
      <c r="C150" s="1662" t="s">
        <v>803</v>
      </c>
      <c r="D150" s="1761" t="str">
        <f>IF(ISBLANK('Ввод исходных данных'!$E280),"-",'Ввод исходных данных'!$E280)</f>
        <v>-</v>
      </c>
      <c r="E150" s="1762">
        <f>IF(ISBLANK('Ввод исходных данных'!$D224),"-",'Ввод исходных данных'!$D224)</f>
        <v>25.12</v>
      </c>
      <c r="F150" s="1763" t="str">
        <f>IF(ISBLANK('Ввод исходных данных'!$E224),"-",'Ввод исходных данных'!$E224)</f>
        <v>-</v>
      </c>
      <c r="G150" s="1764" t="str">
        <f>IF(ISBLANK('Ввод исходных данных'!$F224),"-",'Ввод исходных данных'!$F224)</f>
        <v>-</v>
      </c>
      <c r="H150" s="1762" t="str">
        <f>IF(ISBLANK('Ввод исходных данных'!$D243),"-",'Ввод исходных данных'!$D243)</f>
        <v>-</v>
      </c>
      <c r="I150" s="1763" t="str">
        <f>IF(ISBLANK('Ввод исходных данных'!$E243),"-",'Ввод исходных данных'!$E243)</f>
        <v>-</v>
      </c>
      <c r="J150" s="1764">
        <f>IF(ISBLANK('Ввод исходных данных'!$F243),"-",'Ввод исходных данных'!$F243)</f>
        <v>205.9</v>
      </c>
      <c r="K150" s="1762">
        <f>IF(ISBLANK('Ввод исходных данных'!$F260),"-",'Ввод исходных данных'!$F260)</f>
        <v>1.599</v>
      </c>
      <c r="L150" s="1763" t="str">
        <f>IF(ISBLANK('Ввод исходных данных'!$G260),"-",'Ввод исходных данных'!$G260)</f>
        <v>-</v>
      </c>
      <c r="M150" s="1763" t="str">
        <f>IF(ISBLANK('Ввод исходных данных'!$H260),"-",'Ввод исходных данных'!$H260)</f>
        <v>-</v>
      </c>
      <c r="N150" s="1763" t="str">
        <f>IF(ISBLANK('Ввод исходных данных'!$I260),"-",'Ввод исходных данных'!$I260)</f>
        <v>-</v>
      </c>
      <c r="O150" s="1764"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2017</v>
      </c>
      <c r="C151" s="1662" t="s">
        <v>804</v>
      </c>
      <c r="D151" s="1761">
        <f>IF(ISBLANK('Ввод исходных данных'!$E281),"-",'Ввод исходных данных'!$E281)</f>
        <v>6.6</v>
      </c>
      <c r="E151" s="1762">
        <f>IF(ISBLANK('Ввод исходных данных'!$D225),"-",'Ввод исходных данных'!$D225)</f>
        <v>68.09</v>
      </c>
      <c r="F151" s="1763" t="str">
        <f>IF(ISBLANK('Ввод исходных данных'!$E225),"-",'Ввод исходных данных'!$E225)</f>
        <v>-</v>
      </c>
      <c r="G151" s="1764" t="str">
        <f>IF(ISBLANK('Ввод исходных данных'!$F225),"-",'Ввод исходных данных'!$F225)</f>
        <v>-</v>
      </c>
      <c r="H151" s="1762" t="str">
        <f>IF(ISBLANK('Ввод исходных данных'!$D244),"-",'Ввод исходных данных'!$D244)</f>
        <v>-</v>
      </c>
      <c r="I151" s="1763" t="str">
        <f>IF(ISBLANK('Ввод исходных данных'!$E244),"-",'Ввод исходных данных'!$E244)</f>
        <v>-</v>
      </c>
      <c r="J151" s="1764">
        <f>IF(ISBLANK('Ввод исходных данных'!$F244),"-",'Ввод исходных данных'!$F244)</f>
        <v>240.5</v>
      </c>
      <c r="K151" s="1762">
        <f>IF(ISBLANK('Ввод исходных данных'!$F261),"-",'Ввод исходных данных'!$F261)</f>
        <v>1.466</v>
      </c>
      <c r="L151" s="1763" t="str">
        <f>IF(ISBLANK('Ввод исходных данных'!$G261),"-",'Ввод исходных данных'!$G261)</f>
        <v>-</v>
      </c>
      <c r="M151" s="1763" t="str">
        <f>IF(ISBLANK('Ввод исходных данных'!$H261),"-",'Ввод исходных данных'!$H261)</f>
        <v>-</v>
      </c>
      <c r="N151" s="1763" t="str">
        <f>IF(ISBLANK('Ввод исходных данных'!$I261),"-",'Ввод исходных данных'!$I261)</f>
        <v>-</v>
      </c>
      <c r="O151" s="1764"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2017</v>
      </c>
      <c r="C152" s="1662" t="s">
        <v>482</v>
      </c>
      <c r="D152" s="1761">
        <f>IF(ISBLANK('Ввод исходных данных'!$E282),"-",'Ввод исходных данных'!$E282)</f>
        <v>2.9</v>
      </c>
      <c r="E152" s="1762">
        <f>IF(ISBLANK('Ввод исходных данных'!$D226),"-",'Ввод исходных данных'!$D226)</f>
        <v>154.1</v>
      </c>
      <c r="F152" s="1763" t="str">
        <f>IF(ISBLANK('Ввод исходных данных'!$E226),"-",'Ввод исходных данных'!$E226)</f>
        <v>-</v>
      </c>
      <c r="G152" s="1764" t="str">
        <f>IF(ISBLANK('Ввод исходных данных'!$F226),"-",'Ввод исходных данных'!$F226)</f>
        <v>-</v>
      </c>
      <c r="H152" s="1762" t="str">
        <f>IF(ISBLANK('Ввод исходных данных'!$D245),"-",'Ввод исходных данных'!$D245)</f>
        <v>-</v>
      </c>
      <c r="I152" s="1763" t="str">
        <f>IF(ISBLANK('Ввод исходных данных'!$E245),"-",'Ввод исходных данных'!$E245)</f>
        <v>-</v>
      </c>
      <c r="J152" s="1764">
        <f>IF(ISBLANK('Ввод исходных данных'!$F245),"-",'Ввод исходных данных'!$F245)</f>
        <v>288.89999999999998</v>
      </c>
      <c r="K152" s="1762">
        <f>IF(ISBLANK('Ввод исходных данных'!$F262),"-",'Ввод исходных данных'!$F262)</f>
        <v>2.2970000000000002</v>
      </c>
      <c r="L152" s="1763" t="str">
        <f>IF(ISBLANK('Ввод исходных данных'!$G262),"-",'Ввод исходных данных'!$G262)</f>
        <v>-</v>
      </c>
      <c r="M152" s="1763" t="str">
        <f>IF(ISBLANK('Ввод исходных данных'!$H262),"-",'Ввод исходных данных'!$H262)</f>
        <v>-</v>
      </c>
      <c r="N152" s="1763" t="str">
        <f>IF(ISBLANK('Ввод исходных данных'!$I262),"-",'Ввод исходных данных'!$I262)</f>
        <v>-</v>
      </c>
      <c r="O152" s="1764"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2017</v>
      </c>
      <c r="C153" s="1662" t="s">
        <v>486</v>
      </c>
      <c r="D153" s="1761">
        <f>IF(ISBLANK('Ввод исходных данных'!$E283),"-",'Ввод исходных данных'!$E283)</f>
        <v>-1.3</v>
      </c>
      <c r="E153" s="1762">
        <f>IF(ISBLANK('Ввод исходных данных'!$D227),"-",'Ввод исходных данных'!$D227)</f>
        <v>152.94999999999999</v>
      </c>
      <c r="F153" s="1763" t="str">
        <f>IF(ISBLANK('Ввод исходных данных'!$E227),"-",'Ввод исходных данных'!$E227)</f>
        <v>-</v>
      </c>
      <c r="G153" s="1764" t="str">
        <f>IF(ISBLANK('Ввод исходных данных'!$F227),"-",'Ввод исходных данных'!$F227)</f>
        <v>-</v>
      </c>
      <c r="H153" s="1762" t="str">
        <f>IF(ISBLANK('Ввод исходных данных'!$D246),"-",'Ввод исходных данных'!$D246)</f>
        <v>-</v>
      </c>
      <c r="I153" s="1763" t="str">
        <f>IF(ISBLANK('Ввод исходных данных'!$E246),"-",'Ввод исходных данных'!$E246)</f>
        <v>-</v>
      </c>
      <c r="J153" s="1764">
        <f>IF(ISBLANK('Ввод исходных данных'!$F246),"-",'Ввод исходных данных'!$F246)</f>
        <v>317.10000000000002</v>
      </c>
      <c r="K153" s="1762">
        <f>IF(ISBLANK('Ввод исходных данных'!$F263),"-",'Ввод исходных данных'!$F263)</f>
        <v>2.9289999999999998</v>
      </c>
      <c r="L153" s="1763" t="str">
        <f>IF(ISBLANK('Ввод исходных данных'!$G263),"-",'Ввод исходных данных'!$G263)</f>
        <v>-</v>
      </c>
      <c r="M153" s="1763" t="str">
        <f>IF(ISBLANK('Ввод исходных данных'!$H263),"-",'Ввод исходных данных'!$H263)</f>
        <v>-</v>
      </c>
      <c r="N153" s="1763" t="str">
        <f>IF(ISBLANK('Ввод исходных данных'!$I263),"-",'Ввод исходных данных'!$I263)</f>
        <v>-</v>
      </c>
      <c r="O153" s="1764"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2017</v>
      </c>
      <c r="C154" s="1662" t="s">
        <v>487</v>
      </c>
      <c r="D154" s="1761">
        <f>IF(ISBLANK('Ввод исходных данных'!$E284),"-",'Ввод исходных данных'!$E284)</f>
        <v>-7.4</v>
      </c>
      <c r="E154" s="1762">
        <f>IF(ISBLANK('Ввод исходных данных'!$D228),"-",'Ввод исходных данных'!$D228)</f>
        <v>176.76</v>
      </c>
      <c r="F154" s="1763" t="str">
        <f>IF(ISBLANK('Ввод исходных данных'!$E228),"-",'Ввод исходных данных'!$E228)</f>
        <v>-</v>
      </c>
      <c r="G154" s="1764" t="str">
        <f>IF(ISBLANK('Ввод исходных данных'!$F228),"-",'Ввод исходных данных'!$F228)</f>
        <v>-</v>
      </c>
      <c r="H154" s="1762" t="str">
        <f>IF(ISBLANK('Ввод исходных данных'!$D247),"-",'Ввод исходных данных'!$D247)</f>
        <v>-</v>
      </c>
      <c r="I154" s="1763" t="str">
        <f>IF(ISBLANK('Ввод исходных данных'!$E247),"-",'Ввод исходных данных'!$E247)</f>
        <v>-</v>
      </c>
      <c r="J154" s="1764">
        <f>IF(ISBLANK('Ввод исходных данных'!$F247),"-",'Ввод исходных данных'!$F247)</f>
        <v>307.39999999999998</v>
      </c>
      <c r="K154" s="1762">
        <f>IF(ISBLANK('Ввод исходных данных'!$F264),"-",'Ввод исходных данных'!$F264)</f>
        <v>0.125</v>
      </c>
      <c r="L154" s="1763" t="str">
        <f>IF(ISBLANK('Ввод исходных данных'!$G264),"-",'Ввод исходных данных'!$G264)</f>
        <v>-</v>
      </c>
      <c r="M154" s="1763" t="str">
        <f>IF(ISBLANK('Ввод исходных данных'!$H264),"-",'Ввод исходных данных'!$H264)</f>
        <v>-</v>
      </c>
      <c r="N154" s="1763" t="str">
        <f>IF(ISBLANK('Ввод исходных данных'!$I264),"-",'Ввод исходных данных'!$I264)</f>
        <v>-</v>
      </c>
      <c r="O154" s="1764"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66" t="s">
        <v>2276</v>
      </c>
      <c r="C155" s="2367"/>
      <c r="D155" s="1768">
        <f ca="1">IF(ISBLANK('Ввод исходных данных'!$E285),"-",'Ввод исходных данных'!$E285)</f>
        <v>-3.6151898734177212</v>
      </c>
      <c r="E155" s="1765">
        <f>IF(ISBLANK('Ввод исходных данных'!$D229),"-",'Ввод исходных данных'!$D229)</f>
        <v>1338.74</v>
      </c>
      <c r="F155" s="1766">
        <f>IF(ISBLANK('Ввод исходных данных'!$E229),"-",'Ввод исходных данных'!$E229)</f>
        <v>0</v>
      </c>
      <c r="G155" s="1767">
        <f>IF(ISBLANK('Ввод исходных данных'!$F229),"-",'Ввод исходных данных'!$F229)</f>
        <v>0</v>
      </c>
      <c r="H155" s="1765">
        <f>IF(ISBLANK('Ввод исходных данных'!$D248),"-",'Ввод исходных данных'!$D248)</f>
        <v>0</v>
      </c>
      <c r="I155" s="1766">
        <f>IF(ISBLANK('Ввод исходных данных'!$E248),"-",'Ввод исходных данных'!$E248)</f>
        <v>0</v>
      </c>
      <c r="J155" s="1767">
        <f>IF(ISBLANK('Ввод исходных данных'!$F248),"-",'Ввод исходных данных'!$F248)</f>
        <v>3083.2000000000003</v>
      </c>
      <c r="K155" s="1765">
        <f>IF(ISBLANK('Ввод исходных данных'!$F265),"-",'Ввод исходных данных'!$F265)</f>
        <v>22.856000000000002</v>
      </c>
      <c r="L155" s="1766">
        <f>IF(ISBLANK('Ввод исходных данных'!$G265),"-",'Ввод исходных данных'!$G265)</f>
        <v>0</v>
      </c>
      <c r="M155" s="1766">
        <f>IF(ISBLANK('Ввод исходных данных'!$H265),"-",'Ввод исходных данных'!$H265)</f>
        <v>0</v>
      </c>
      <c r="N155" s="1766">
        <f>IF(ISBLANK('Ввод исходных данных'!$I265),"-",'Ввод исходных данных'!$I265)</f>
        <v>0</v>
      </c>
      <c r="O155" s="1767">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3" customFormat="1" ht="30" customHeight="1" x14ac:dyDescent="0.25">
      <c r="A156" s="264"/>
      <c r="B156" s="2334" t="s">
        <v>2277</v>
      </c>
      <c r="C156" s="2334"/>
      <c r="D156" s="2334"/>
      <c r="E156" s="2334"/>
      <c r="F156" s="2334"/>
      <c r="G156" s="2334"/>
      <c r="H156" s="2334"/>
      <c r="I156" s="2334"/>
      <c r="J156" s="2334"/>
      <c r="K156" s="2334"/>
      <c r="L156" s="2334"/>
      <c r="M156" s="2334"/>
      <c r="N156" s="2334"/>
      <c r="O156" s="2334"/>
      <c r="P156" s="264"/>
      <c r="Q156" s="264"/>
      <c r="R156" s="264"/>
      <c r="S156" s="264"/>
      <c r="T156" s="264"/>
      <c r="U156" s="264"/>
      <c r="V156" s="264"/>
      <c r="W156" s="264"/>
      <c r="X156" s="264"/>
      <c r="Y156" s="264"/>
      <c r="Z156" s="264"/>
      <c r="AA156" s="264"/>
      <c r="AB156" s="264"/>
      <c r="AC156" s="264"/>
    </row>
    <row r="157" spans="1:29" x14ac:dyDescent="0.25">
      <c r="A157" s="264"/>
      <c r="B157" s="2365" t="s">
        <v>2147</v>
      </c>
      <c r="C157" s="2368" t="s">
        <v>2278</v>
      </c>
      <c r="D157" s="2369"/>
      <c r="E157" s="2370"/>
      <c r="F157" s="2374" t="s">
        <v>2279</v>
      </c>
      <c r="G157" s="2375"/>
      <c r="H157" s="2375"/>
      <c r="I157" s="2376"/>
      <c r="J157" s="2374" t="s">
        <v>2280</v>
      </c>
      <c r="K157" s="2375"/>
      <c r="L157" s="2376"/>
      <c r="M157" s="2365" t="s">
        <v>2281</v>
      </c>
      <c r="N157" s="2365"/>
      <c r="O157" s="2365"/>
      <c r="P157" s="264"/>
      <c r="Q157" s="264"/>
      <c r="R157" s="264"/>
      <c r="S157" s="264"/>
      <c r="T157" s="264"/>
      <c r="U157" s="264"/>
      <c r="V157" s="264"/>
      <c r="W157" s="264"/>
      <c r="X157" s="264"/>
      <c r="Y157" s="264"/>
      <c r="Z157" s="264"/>
      <c r="AA157" s="264"/>
      <c r="AB157" s="264"/>
      <c r="AC157" s="264"/>
    </row>
    <row r="158" spans="1:29" x14ac:dyDescent="0.25">
      <c r="A158" s="264"/>
      <c r="B158" s="2365"/>
      <c r="C158" s="2371"/>
      <c r="D158" s="2372"/>
      <c r="E158" s="2373"/>
      <c r="F158" s="2377"/>
      <c r="G158" s="2378"/>
      <c r="H158" s="2378"/>
      <c r="I158" s="2379"/>
      <c r="J158" s="2377"/>
      <c r="K158" s="2378"/>
      <c r="L158" s="2379"/>
      <c r="M158" s="2380" t="s">
        <v>1770</v>
      </c>
      <c r="N158" s="2381"/>
      <c r="O158" s="2381"/>
      <c r="P158" s="264"/>
      <c r="Q158" s="264"/>
      <c r="R158" s="264"/>
      <c r="S158" s="264"/>
      <c r="T158" s="264"/>
      <c r="U158" s="264"/>
      <c r="V158" s="264"/>
      <c r="W158" s="264"/>
      <c r="X158" s="264"/>
      <c r="Y158" s="264"/>
      <c r="Z158" s="264"/>
      <c r="AA158" s="264"/>
      <c r="AB158" s="264"/>
      <c r="AC158" s="264"/>
    </row>
    <row r="159" spans="1:29" ht="41.25" customHeight="1" x14ac:dyDescent="0.25">
      <c r="A159" s="264"/>
      <c r="B159" s="1666">
        <v>1</v>
      </c>
      <c r="C159" s="2382" t="str">
        <f>IFERROR(VLOOKUP($B159,'Список мероприятий'!$AX$8:$BB$30,2,FALSE),"")</f>
        <v>Установка узлов управления и регулирования потребления ТЭ</v>
      </c>
      <c r="D159" s="2383"/>
      <c r="E159" s="2384"/>
      <c r="F159" s="2385"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386"/>
      <c r="H159" s="2386"/>
      <c r="I159" s="2387"/>
      <c r="J159" s="2385" t="str">
        <f>IFERROR(VLOOKUP($B159,'Список мероприятий'!$AX$8:$BB$30,4,FALSE),"")</f>
        <v>-</v>
      </c>
      <c r="K159" s="2386"/>
      <c r="L159" s="2387"/>
      <c r="M159" s="2388">
        <f>IFERROR(VLOOKUP($B159,'Список мероприятий'!$AX$8:$BB$30,5,FALSE),"")</f>
        <v>305266.48</v>
      </c>
      <c r="N159" s="2389"/>
      <c r="O159" s="2390"/>
      <c r="P159" s="264"/>
      <c r="Q159" s="264"/>
      <c r="R159" s="264"/>
      <c r="S159" s="264"/>
      <c r="T159" s="264"/>
      <c r="U159" s="264"/>
      <c r="V159" s="264"/>
      <c r="W159" s="264"/>
      <c r="X159" s="264"/>
      <c r="Y159" s="264"/>
      <c r="Z159" s="264"/>
      <c r="AA159" s="264"/>
      <c r="AB159" s="264"/>
      <c r="AC159" s="264"/>
    </row>
    <row r="160" spans="1:29" ht="30" customHeight="1" x14ac:dyDescent="0.25">
      <c r="A160" s="264"/>
      <c r="B160" s="1666">
        <v>2</v>
      </c>
      <c r="C160" s="2382" t="str">
        <f>IFERROR(VLOOKUP($B160,'Список мероприятий'!$AX$8:$BB$30,2,FALSE),"")</f>
        <v/>
      </c>
      <c r="D160" s="2383"/>
      <c r="E160" s="2384"/>
      <c r="F160" s="2385" t="str">
        <f>IFERROR(VLOOKUP($B160,'Список мероприятий'!$AX$8:$BB$30,3,FALSE),"")</f>
        <v/>
      </c>
      <c r="G160" s="2386"/>
      <c r="H160" s="2386"/>
      <c r="I160" s="2387"/>
      <c r="J160" s="2385" t="str">
        <f>IFERROR(VLOOKUP($B160,'Список мероприятий'!$AX$8:$BB$30,4,FALSE),"")</f>
        <v/>
      </c>
      <c r="K160" s="2386"/>
      <c r="L160" s="2387"/>
      <c r="M160" s="2388" t="str">
        <f>IFERROR(VLOOKUP($B160,'Список мероприятий'!$AX$8:$BB$30,5,FALSE),"")</f>
        <v/>
      </c>
      <c r="N160" s="2389"/>
      <c r="O160" s="2390"/>
      <c r="P160" s="264"/>
      <c r="Q160" s="264"/>
      <c r="R160" s="264"/>
      <c r="S160" s="264"/>
      <c r="T160" s="264"/>
      <c r="U160" s="264"/>
      <c r="V160" s="264"/>
      <c r="W160" s="264"/>
      <c r="X160" s="264"/>
      <c r="Y160" s="264"/>
      <c r="Z160" s="264"/>
      <c r="AA160" s="264"/>
      <c r="AB160" s="264"/>
      <c r="AC160" s="264"/>
    </row>
    <row r="161" spans="1:29" ht="30" customHeight="1" x14ac:dyDescent="0.25">
      <c r="A161" s="264"/>
      <c r="B161" s="1666">
        <v>3</v>
      </c>
      <c r="C161" s="2382" t="str">
        <f>IFERROR(VLOOKUP($B161,'Список мероприятий'!$AX$8:$BB$30,2,FALSE),"")</f>
        <v/>
      </c>
      <c r="D161" s="2383"/>
      <c r="E161" s="2384"/>
      <c r="F161" s="2385" t="str">
        <f>IFERROR(VLOOKUP($B161,'Список мероприятий'!$AX$8:$BB$30,3,FALSE),"")</f>
        <v/>
      </c>
      <c r="G161" s="2386"/>
      <c r="H161" s="2386"/>
      <c r="I161" s="2387"/>
      <c r="J161" s="2385" t="str">
        <f>IFERROR(VLOOKUP($B161,'Список мероприятий'!$AX$8:$BB$30,4,FALSE),"")</f>
        <v/>
      </c>
      <c r="K161" s="2386"/>
      <c r="L161" s="2387"/>
      <c r="M161" s="2388" t="str">
        <f>IFERROR(VLOOKUP($B161,'Список мероприятий'!$AX$8:$BB$30,5,FALSE),"")</f>
        <v/>
      </c>
      <c r="N161" s="2389"/>
      <c r="O161" s="2390"/>
      <c r="P161" s="264"/>
      <c r="Q161" s="264"/>
      <c r="R161" s="264"/>
      <c r="S161" s="264"/>
      <c r="T161" s="264"/>
      <c r="U161" s="264"/>
      <c r="V161" s="264"/>
      <c r="W161" s="264"/>
      <c r="X161" s="264"/>
      <c r="Y161" s="264"/>
      <c r="Z161" s="264"/>
      <c r="AA161" s="264"/>
      <c r="AB161" s="264"/>
      <c r="AC161" s="264"/>
    </row>
    <row r="162" spans="1:29" ht="30" customHeight="1" x14ac:dyDescent="0.25">
      <c r="A162" s="264"/>
      <c r="B162" s="1666">
        <v>4</v>
      </c>
      <c r="C162" s="2382" t="str">
        <f>IFERROR(VLOOKUP($B162,'Список мероприятий'!$AX$8:$BB$30,2,FALSE),"")</f>
        <v/>
      </c>
      <c r="D162" s="2383"/>
      <c r="E162" s="2384"/>
      <c r="F162" s="2385" t="str">
        <f>IFERROR(VLOOKUP($B162,'Список мероприятий'!$AX$8:$BB$30,3,FALSE),"")</f>
        <v/>
      </c>
      <c r="G162" s="2386"/>
      <c r="H162" s="2386"/>
      <c r="I162" s="2387"/>
      <c r="J162" s="2385" t="str">
        <f>IFERROR(VLOOKUP($B162,'Список мероприятий'!$AX$8:$BB$30,4,FALSE),"")</f>
        <v/>
      </c>
      <c r="K162" s="2386"/>
      <c r="L162" s="2387"/>
      <c r="M162" s="2388" t="str">
        <f>IFERROR(VLOOKUP($B162,'Список мероприятий'!$AX$8:$BB$30,5,FALSE),"")</f>
        <v/>
      </c>
      <c r="N162" s="2389"/>
      <c r="O162" s="2390"/>
      <c r="P162" s="264"/>
      <c r="Q162" s="264"/>
      <c r="R162" s="264"/>
      <c r="S162" s="264"/>
      <c r="T162" s="264"/>
      <c r="U162" s="264"/>
      <c r="V162" s="264"/>
      <c r="W162" s="264"/>
      <c r="X162" s="264"/>
      <c r="Y162" s="264"/>
      <c r="Z162" s="264"/>
      <c r="AA162" s="264"/>
      <c r="AB162" s="264"/>
      <c r="AC162" s="264"/>
    </row>
    <row r="163" spans="1:29" ht="30" customHeight="1" x14ac:dyDescent="0.25">
      <c r="A163" s="264"/>
      <c r="B163" s="1666">
        <v>5</v>
      </c>
      <c r="C163" s="2382" t="str">
        <f>IFERROR(VLOOKUP($B163,'Список мероприятий'!$AX$8:$BB$30,2,FALSE),"")</f>
        <v/>
      </c>
      <c r="D163" s="2383"/>
      <c r="E163" s="2384"/>
      <c r="F163" s="2385" t="str">
        <f>IFERROR(VLOOKUP($B163,'Список мероприятий'!$AX$8:$BB$30,3,FALSE),"")</f>
        <v/>
      </c>
      <c r="G163" s="2386"/>
      <c r="H163" s="2386"/>
      <c r="I163" s="2387"/>
      <c r="J163" s="2385" t="str">
        <f>IFERROR(VLOOKUP($B163,'Список мероприятий'!$AX$8:$BB$30,4,FALSE),"")</f>
        <v/>
      </c>
      <c r="K163" s="2386"/>
      <c r="L163" s="2387"/>
      <c r="M163" s="2388" t="str">
        <f>IFERROR(VLOOKUP($B163,'Список мероприятий'!$AX$8:$BB$30,5,FALSE),"")</f>
        <v/>
      </c>
      <c r="N163" s="2389"/>
      <c r="O163" s="2390"/>
      <c r="P163" s="264"/>
      <c r="Q163" s="264"/>
      <c r="R163" s="264"/>
      <c r="S163" s="264"/>
      <c r="T163" s="264"/>
      <c r="U163" s="264"/>
      <c r="V163" s="264"/>
      <c r="W163" s="264"/>
      <c r="X163" s="264"/>
      <c r="Y163" s="264"/>
      <c r="Z163" s="264"/>
      <c r="AA163" s="264"/>
      <c r="AB163" s="264"/>
      <c r="AC163" s="264"/>
    </row>
    <row r="164" spans="1:29" ht="30" customHeight="1" x14ac:dyDescent="0.25">
      <c r="A164" s="264"/>
      <c r="B164" s="1666">
        <v>6</v>
      </c>
      <c r="C164" s="2382" t="str">
        <f>IFERROR(VLOOKUP($B164,'Список мероприятий'!$AX$8:$BB$30,2,FALSE),"")</f>
        <v/>
      </c>
      <c r="D164" s="2383"/>
      <c r="E164" s="2384"/>
      <c r="F164" s="2385" t="str">
        <f>IFERROR(VLOOKUP($B164,'Список мероприятий'!$AX$8:$BB$30,3,FALSE),"")</f>
        <v/>
      </c>
      <c r="G164" s="2386"/>
      <c r="H164" s="2386"/>
      <c r="I164" s="2387"/>
      <c r="J164" s="2385" t="str">
        <f>IFERROR(VLOOKUP($B164,'Список мероприятий'!$AX$8:$BB$30,4,FALSE),"")</f>
        <v/>
      </c>
      <c r="K164" s="2386"/>
      <c r="L164" s="2387"/>
      <c r="M164" s="2388" t="str">
        <f>IFERROR(VLOOKUP($B164,'Список мероприятий'!$AX$8:$BB$30,5,FALSE),"")</f>
        <v/>
      </c>
      <c r="N164" s="2389"/>
      <c r="O164" s="2390"/>
      <c r="P164" s="264"/>
      <c r="Q164" s="264"/>
      <c r="R164" s="264"/>
      <c r="S164" s="264"/>
      <c r="T164" s="264"/>
      <c r="U164" s="264"/>
      <c r="V164" s="264"/>
      <c r="W164" s="264"/>
      <c r="X164" s="264"/>
      <c r="Y164" s="264"/>
      <c r="Z164" s="264"/>
      <c r="AA164" s="264"/>
      <c r="AB164" s="264"/>
      <c r="AC164" s="264"/>
    </row>
    <row r="165" spans="1:29" ht="30" customHeight="1" x14ac:dyDescent="0.25">
      <c r="A165" s="264"/>
      <c r="B165" s="1666">
        <v>7</v>
      </c>
      <c r="C165" s="2382" t="str">
        <f>IFERROR(VLOOKUP($B165,'Список мероприятий'!$AX$8:$BB$30,2,FALSE),"")</f>
        <v/>
      </c>
      <c r="D165" s="2383"/>
      <c r="E165" s="2384"/>
      <c r="F165" s="2385" t="str">
        <f>IFERROR(VLOOKUP($B165,'Список мероприятий'!$AX$8:$BB$30,3,FALSE),"")</f>
        <v/>
      </c>
      <c r="G165" s="2386"/>
      <c r="H165" s="2386"/>
      <c r="I165" s="2387"/>
      <c r="J165" s="2385" t="str">
        <f>IFERROR(VLOOKUP($B165,'Список мероприятий'!$AX$8:$BB$30,4,FALSE),"")</f>
        <v/>
      </c>
      <c r="K165" s="2386"/>
      <c r="L165" s="2387"/>
      <c r="M165" s="2388" t="str">
        <f>IFERROR(VLOOKUP($B165,'Список мероприятий'!$AX$8:$BB$30,5,FALSE),"")</f>
        <v/>
      </c>
      <c r="N165" s="2389"/>
      <c r="O165" s="2390"/>
      <c r="P165" s="264"/>
      <c r="Q165" s="264"/>
      <c r="R165" s="264"/>
      <c r="S165" s="264"/>
      <c r="T165" s="264"/>
      <c r="U165" s="264"/>
      <c r="V165" s="264"/>
      <c r="W165" s="264"/>
      <c r="X165" s="264"/>
      <c r="Y165" s="264"/>
      <c r="Z165" s="264"/>
      <c r="AA165" s="264"/>
      <c r="AB165" s="264"/>
      <c r="AC165" s="264"/>
    </row>
    <row r="166" spans="1:29" ht="30" customHeight="1" x14ac:dyDescent="0.25">
      <c r="A166" s="264"/>
      <c r="B166" s="1666">
        <v>8</v>
      </c>
      <c r="C166" s="2382" t="str">
        <f>IFERROR(VLOOKUP($B166,'Список мероприятий'!$AX$8:$BB$30,2,FALSE),"")</f>
        <v/>
      </c>
      <c r="D166" s="2383"/>
      <c r="E166" s="2384"/>
      <c r="F166" s="2385" t="str">
        <f>IFERROR(VLOOKUP($B166,'Список мероприятий'!$AX$8:$BB$30,3,FALSE),"")</f>
        <v/>
      </c>
      <c r="G166" s="2386"/>
      <c r="H166" s="2386"/>
      <c r="I166" s="2387"/>
      <c r="J166" s="2385" t="str">
        <f>IFERROR(VLOOKUP($B166,'Список мероприятий'!$AX$8:$BB$30,4,FALSE),"")</f>
        <v/>
      </c>
      <c r="K166" s="2386"/>
      <c r="L166" s="2387"/>
      <c r="M166" s="2388" t="str">
        <f>IFERROR(VLOOKUP($B166,'Список мероприятий'!$AX$8:$BB$30,5,FALSE),"")</f>
        <v/>
      </c>
      <c r="N166" s="2389"/>
      <c r="O166" s="2390"/>
      <c r="P166" s="264"/>
      <c r="Q166" s="264"/>
      <c r="R166" s="264"/>
      <c r="S166" s="264"/>
      <c r="T166" s="264"/>
      <c r="U166" s="264"/>
      <c r="V166" s="264"/>
      <c r="W166" s="264"/>
      <c r="X166" s="264"/>
      <c r="Y166" s="264"/>
      <c r="Z166" s="264"/>
      <c r="AA166" s="264"/>
      <c r="AB166" s="264"/>
      <c r="AC166" s="264"/>
    </row>
    <row r="167" spans="1:29" ht="30" customHeight="1" x14ac:dyDescent="0.25">
      <c r="A167" s="264"/>
      <c r="B167" s="1666">
        <v>9</v>
      </c>
      <c r="C167" s="2382" t="str">
        <f>IFERROR(VLOOKUP($B167,'Список мероприятий'!$AX$8:$BB$30,2,FALSE),"")</f>
        <v/>
      </c>
      <c r="D167" s="2383"/>
      <c r="E167" s="2384"/>
      <c r="F167" s="2385" t="str">
        <f>IFERROR(VLOOKUP($B167,'Список мероприятий'!$AX$8:$BB$30,3,FALSE),"")</f>
        <v/>
      </c>
      <c r="G167" s="2386"/>
      <c r="H167" s="2386"/>
      <c r="I167" s="2387"/>
      <c r="J167" s="2385" t="str">
        <f>IFERROR(VLOOKUP($B167,'Список мероприятий'!$AX$8:$BB$30,4,FALSE),"")</f>
        <v/>
      </c>
      <c r="K167" s="2386"/>
      <c r="L167" s="2387"/>
      <c r="M167" s="2388" t="str">
        <f>IFERROR(VLOOKUP($B167,'Список мероприятий'!$AX$8:$BB$30,5,FALSE),"")</f>
        <v/>
      </c>
      <c r="N167" s="2389"/>
      <c r="O167" s="2390"/>
      <c r="P167" s="264"/>
      <c r="Q167" s="264"/>
      <c r="R167" s="264"/>
      <c r="S167" s="264"/>
      <c r="T167" s="264"/>
      <c r="U167" s="264"/>
      <c r="V167" s="264"/>
      <c r="W167" s="264"/>
      <c r="X167" s="264"/>
      <c r="Y167" s="264"/>
      <c r="Z167" s="264"/>
      <c r="AA167" s="264"/>
      <c r="AB167" s="264"/>
      <c r="AC167" s="264"/>
    </row>
    <row r="168" spans="1:29" ht="30" customHeight="1" x14ac:dyDescent="0.25">
      <c r="A168" s="264"/>
      <c r="B168" s="1666">
        <v>10</v>
      </c>
      <c r="C168" s="2382" t="str">
        <f>IFERROR(VLOOKUP($B168,'Список мероприятий'!$AX$8:$BB$30,2,FALSE),"")</f>
        <v/>
      </c>
      <c r="D168" s="2383"/>
      <c r="E168" s="2384"/>
      <c r="F168" s="2385" t="str">
        <f>IFERROR(VLOOKUP($B168,'Список мероприятий'!$AX$8:$BB$30,3,FALSE),"")</f>
        <v/>
      </c>
      <c r="G168" s="2386"/>
      <c r="H168" s="2386"/>
      <c r="I168" s="2387"/>
      <c r="J168" s="2385" t="str">
        <f>IFERROR(VLOOKUP($B168,'Список мероприятий'!$AX$8:$BB$30,4,FALSE),"")</f>
        <v/>
      </c>
      <c r="K168" s="2386"/>
      <c r="L168" s="2387"/>
      <c r="M168" s="2388" t="str">
        <f>IFERROR(VLOOKUP($B168,'Список мероприятий'!$AX$8:$BB$30,5,FALSE),"")</f>
        <v/>
      </c>
      <c r="N168" s="2389"/>
      <c r="O168" s="2390"/>
      <c r="P168" s="264"/>
      <c r="Q168" s="264"/>
      <c r="R168" s="264"/>
      <c r="S168" s="264"/>
      <c r="T168" s="264"/>
      <c r="U168" s="264"/>
      <c r="V168" s="264"/>
      <c r="W168" s="264"/>
      <c r="X168" s="264"/>
      <c r="Y168" s="264"/>
      <c r="Z168" s="264"/>
      <c r="AA168" s="264"/>
      <c r="AB168" s="264"/>
      <c r="AC168" s="264"/>
    </row>
    <row r="169" spans="1:29" ht="30" customHeight="1" x14ac:dyDescent="0.25">
      <c r="A169" s="264"/>
      <c r="B169" s="1666">
        <v>11</v>
      </c>
      <c r="C169" s="2382" t="str">
        <f>IFERROR(VLOOKUP($B169,'Список мероприятий'!$AX$8:$BB$30,2,FALSE),"")</f>
        <v/>
      </c>
      <c r="D169" s="2383"/>
      <c r="E169" s="2384"/>
      <c r="F169" s="2385" t="str">
        <f>IFERROR(VLOOKUP($B169,'Список мероприятий'!$AX$8:$BB$30,3,FALSE),"")</f>
        <v/>
      </c>
      <c r="G169" s="2386"/>
      <c r="H169" s="2386"/>
      <c r="I169" s="2387"/>
      <c r="J169" s="2385" t="str">
        <f>IFERROR(VLOOKUP($B169,'Список мероприятий'!$AX$8:$BB$30,4,FALSE),"")</f>
        <v/>
      </c>
      <c r="K169" s="2386"/>
      <c r="L169" s="2387"/>
      <c r="M169" s="2388" t="str">
        <f>IFERROR(VLOOKUP($B169,'Список мероприятий'!$AX$8:$BB$30,5,FALSE),"")</f>
        <v/>
      </c>
      <c r="N169" s="2389"/>
      <c r="O169" s="2390"/>
      <c r="P169" s="264"/>
      <c r="Q169" s="264"/>
      <c r="R169" s="264"/>
      <c r="S169" s="264"/>
      <c r="T169" s="264"/>
      <c r="U169" s="264"/>
      <c r="V169" s="264"/>
      <c r="W169" s="264"/>
      <c r="X169" s="264"/>
      <c r="Y169" s="264"/>
      <c r="Z169" s="264"/>
      <c r="AA169" s="264"/>
      <c r="AB169" s="264"/>
      <c r="AC169" s="264"/>
    </row>
    <row r="170" spans="1:29" ht="30" customHeight="1" x14ac:dyDescent="0.25">
      <c r="A170" s="264"/>
      <c r="B170" s="1666">
        <v>12</v>
      </c>
      <c r="C170" s="2382" t="str">
        <f>IFERROR(VLOOKUP($B170,'Список мероприятий'!$AX$8:$BB$30,2,FALSE),"")</f>
        <v/>
      </c>
      <c r="D170" s="2383"/>
      <c r="E170" s="2384"/>
      <c r="F170" s="2385" t="str">
        <f>IFERROR(VLOOKUP($B170,'Список мероприятий'!$AX$8:$BB$30,3,FALSE),"")</f>
        <v/>
      </c>
      <c r="G170" s="2386"/>
      <c r="H170" s="2386"/>
      <c r="I170" s="2387"/>
      <c r="J170" s="2385" t="str">
        <f>IFERROR(VLOOKUP($B170,'Список мероприятий'!$AX$8:$BB$30,4,FALSE),"")</f>
        <v/>
      </c>
      <c r="K170" s="2386"/>
      <c r="L170" s="2387"/>
      <c r="M170" s="2388" t="str">
        <f>IFERROR(VLOOKUP($B170,'Список мероприятий'!$AX$8:$BB$30,5,FALSE),"")</f>
        <v/>
      </c>
      <c r="N170" s="2389"/>
      <c r="O170" s="2390"/>
      <c r="P170" s="264"/>
      <c r="Q170" s="264"/>
      <c r="R170" s="264"/>
      <c r="S170" s="264"/>
      <c r="T170" s="264"/>
      <c r="U170" s="264"/>
      <c r="V170" s="264"/>
      <c r="W170" s="264"/>
      <c r="X170" s="264"/>
      <c r="Y170" s="264"/>
      <c r="Z170" s="264"/>
      <c r="AA170" s="264"/>
      <c r="AB170" s="264"/>
      <c r="AC170" s="264"/>
    </row>
    <row r="171" spans="1:29" ht="30" customHeight="1" x14ac:dyDescent="0.25">
      <c r="A171" s="264"/>
      <c r="B171" s="1666">
        <v>13</v>
      </c>
      <c r="C171" s="2382" t="str">
        <f>IFERROR(VLOOKUP($B171,'Список мероприятий'!$AX$8:$BB$30,2,FALSE),"")</f>
        <v/>
      </c>
      <c r="D171" s="2383"/>
      <c r="E171" s="2384"/>
      <c r="F171" s="2385" t="str">
        <f>IFERROR(VLOOKUP($B171,'Список мероприятий'!$AX$8:$BB$30,3,FALSE),"")</f>
        <v/>
      </c>
      <c r="G171" s="2386"/>
      <c r="H171" s="2386"/>
      <c r="I171" s="2387"/>
      <c r="J171" s="2385" t="str">
        <f>IFERROR(VLOOKUP($B171,'Список мероприятий'!$AX$8:$BB$30,4,FALSE),"")</f>
        <v/>
      </c>
      <c r="K171" s="2386"/>
      <c r="L171" s="2387"/>
      <c r="M171" s="2388" t="str">
        <f>IFERROR(VLOOKUP($B171,'Список мероприятий'!$AX$8:$BB$30,5,FALSE),"")</f>
        <v/>
      </c>
      <c r="N171" s="2389"/>
      <c r="O171" s="2390"/>
      <c r="P171" s="264"/>
      <c r="Q171" s="264"/>
      <c r="R171" s="264"/>
      <c r="S171" s="264"/>
      <c r="T171" s="264"/>
      <c r="U171" s="264"/>
      <c r="V171" s="264"/>
      <c r="W171" s="264"/>
      <c r="X171" s="264"/>
      <c r="Y171" s="264"/>
      <c r="Z171" s="264"/>
      <c r="AA171" s="264"/>
      <c r="AB171" s="264"/>
      <c r="AC171" s="264"/>
    </row>
    <row r="172" spans="1:29" ht="30" customHeight="1" x14ac:dyDescent="0.25">
      <c r="A172" s="264"/>
      <c r="B172" s="1666">
        <v>14</v>
      </c>
      <c r="C172" s="2382" t="str">
        <f>IFERROR(VLOOKUP($B172,'Список мероприятий'!$AX$8:$BB$30,2,FALSE),"")</f>
        <v/>
      </c>
      <c r="D172" s="2383"/>
      <c r="E172" s="2384"/>
      <c r="F172" s="2385" t="str">
        <f>IFERROR(VLOOKUP($B172,'Список мероприятий'!$AX$8:$BB$30,3,FALSE),"")</f>
        <v/>
      </c>
      <c r="G172" s="2386"/>
      <c r="H172" s="2386"/>
      <c r="I172" s="2387"/>
      <c r="J172" s="2385" t="str">
        <f>IFERROR(VLOOKUP($B172,'Список мероприятий'!$AX$8:$BB$30,4,FALSE),"")</f>
        <v/>
      </c>
      <c r="K172" s="2386"/>
      <c r="L172" s="2387"/>
      <c r="M172" s="2388" t="str">
        <f>IFERROR(VLOOKUP($B172,'Список мероприятий'!$AX$8:$BB$30,5,FALSE),"")</f>
        <v/>
      </c>
      <c r="N172" s="2389"/>
      <c r="O172" s="2390"/>
      <c r="P172" s="264"/>
      <c r="Q172" s="264"/>
      <c r="R172" s="264"/>
      <c r="S172" s="264"/>
      <c r="T172" s="264"/>
      <c r="U172" s="264"/>
      <c r="V172" s="264"/>
      <c r="W172" s="264"/>
      <c r="X172" s="264"/>
      <c r="Y172" s="264"/>
      <c r="Z172" s="264"/>
      <c r="AA172" s="264"/>
      <c r="AB172" s="264"/>
      <c r="AC172" s="264"/>
    </row>
    <row r="173" spans="1:29" ht="30" customHeight="1" x14ac:dyDescent="0.25">
      <c r="A173" s="264"/>
      <c r="B173" s="1666">
        <v>15</v>
      </c>
      <c r="C173" s="2382" t="str">
        <f>IFERROR(VLOOKUP($B173,'Список мероприятий'!$AX$8:$BB$30,2,FALSE),"")</f>
        <v/>
      </c>
      <c r="D173" s="2383"/>
      <c r="E173" s="2384"/>
      <c r="F173" s="2385" t="str">
        <f>IFERROR(VLOOKUP($B173,'Список мероприятий'!$AX$8:$BB$30,3,FALSE),"")</f>
        <v/>
      </c>
      <c r="G173" s="2386"/>
      <c r="H173" s="2386"/>
      <c r="I173" s="2387"/>
      <c r="J173" s="2385" t="str">
        <f>IFERROR(VLOOKUP($B173,'Список мероприятий'!$AX$8:$BB$30,4,FALSE),"")</f>
        <v/>
      </c>
      <c r="K173" s="2386"/>
      <c r="L173" s="2387"/>
      <c r="M173" s="2388" t="str">
        <f>IFERROR(VLOOKUP($B173,'Список мероприятий'!$AX$8:$BB$30,5,FALSE),"")</f>
        <v/>
      </c>
      <c r="N173" s="2389"/>
      <c r="O173" s="2390"/>
      <c r="P173" s="264"/>
      <c r="Q173" s="264"/>
      <c r="R173" s="264"/>
      <c r="S173" s="264"/>
      <c r="T173" s="264"/>
      <c r="U173" s="264"/>
      <c r="V173" s="264"/>
      <c r="W173" s="264"/>
      <c r="X173" s="264"/>
      <c r="Y173" s="264"/>
      <c r="Z173" s="264"/>
      <c r="AA173" s="264"/>
      <c r="AB173" s="264"/>
      <c r="AC173" s="264"/>
    </row>
    <row r="174" spans="1:29" ht="30" customHeight="1" x14ac:dyDescent="0.25">
      <c r="A174" s="264"/>
      <c r="B174" s="1666">
        <v>16</v>
      </c>
      <c r="C174" s="2382" t="str">
        <f>IFERROR(VLOOKUP($B174,'Список мероприятий'!$AX$8:$BB$30,2,FALSE),"")</f>
        <v/>
      </c>
      <c r="D174" s="2383"/>
      <c r="E174" s="2384"/>
      <c r="F174" s="2385" t="str">
        <f>IFERROR(VLOOKUP($B174,'Список мероприятий'!$AX$8:$BB$30,3,FALSE),"")</f>
        <v/>
      </c>
      <c r="G174" s="2386"/>
      <c r="H174" s="2386"/>
      <c r="I174" s="2387"/>
      <c r="J174" s="2385" t="str">
        <f>IFERROR(VLOOKUP($B174,'Список мероприятий'!$AX$8:$BB$30,4,FALSE),"")</f>
        <v/>
      </c>
      <c r="K174" s="2386"/>
      <c r="L174" s="2387"/>
      <c r="M174" s="2388" t="str">
        <f>IFERROR(VLOOKUP($B174,'Список мероприятий'!$AX$8:$BB$30,5,FALSE),"")</f>
        <v/>
      </c>
      <c r="N174" s="2389"/>
      <c r="O174" s="2390"/>
      <c r="P174" s="264"/>
      <c r="Q174" s="264"/>
      <c r="R174" s="264"/>
      <c r="S174" s="264"/>
      <c r="T174" s="264"/>
      <c r="U174" s="264"/>
      <c r="V174" s="264"/>
      <c r="W174" s="264"/>
      <c r="X174" s="264"/>
      <c r="Y174" s="264"/>
      <c r="Z174" s="264"/>
      <c r="AA174" s="264"/>
      <c r="AB174" s="264"/>
      <c r="AC174" s="264"/>
    </row>
    <row r="175" spans="1:29" ht="30" customHeight="1" x14ac:dyDescent="0.25">
      <c r="A175" s="264"/>
      <c r="B175" s="1666">
        <v>17</v>
      </c>
      <c r="C175" s="2382" t="str">
        <f>IFERROR(VLOOKUP($B175,'Список мероприятий'!$AX$8:$BB$30,2,FALSE),"")</f>
        <v/>
      </c>
      <c r="D175" s="2383"/>
      <c r="E175" s="2384"/>
      <c r="F175" s="2385" t="str">
        <f>IFERROR(VLOOKUP($B175,'Список мероприятий'!$AX$8:$BB$30,3,FALSE),"")</f>
        <v/>
      </c>
      <c r="G175" s="2386"/>
      <c r="H175" s="2386"/>
      <c r="I175" s="2387"/>
      <c r="J175" s="2385" t="str">
        <f>IFERROR(VLOOKUP($B175,'Список мероприятий'!$AX$8:$BB$30,4,FALSE),"")</f>
        <v/>
      </c>
      <c r="K175" s="2386"/>
      <c r="L175" s="2387"/>
      <c r="M175" s="2388" t="str">
        <f>IFERROR(VLOOKUP($B175,'Список мероприятий'!$AX$8:$BB$30,5,FALSE),"")</f>
        <v/>
      </c>
      <c r="N175" s="2389"/>
      <c r="O175" s="2390"/>
      <c r="P175" s="264"/>
      <c r="Q175" s="264"/>
      <c r="R175" s="264"/>
      <c r="S175" s="264"/>
      <c r="T175" s="264"/>
      <c r="U175" s="264"/>
      <c r="V175" s="264"/>
      <c r="W175" s="264"/>
      <c r="X175" s="264"/>
      <c r="Y175" s="264"/>
      <c r="Z175" s="264"/>
      <c r="AA175" s="264"/>
      <c r="AB175" s="264"/>
      <c r="AC175" s="264"/>
    </row>
    <row r="176" spans="1:29" ht="30" customHeight="1" x14ac:dyDescent="0.25">
      <c r="A176" s="264"/>
      <c r="B176" s="1666">
        <v>18</v>
      </c>
      <c r="C176" s="2382" t="str">
        <f>IFERROR(VLOOKUP($B176,'Список мероприятий'!$AX$8:$BB$30,2,FALSE),"")</f>
        <v/>
      </c>
      <c r="D176" s="2383"/>
      <c r="E176" s="2384"/>
      <c r="F176" s="2385" t="str">
        <f>IFERROR(VLOOKUP($B176,'Список мероприятий'!$AX$8:$BB$30,3,FALSE),"")</f>
        <v/>
      </c>
      <c r="G176" s="2386"/>
      <c r="H176" s="2386"/>
      <c r="I176" s="2387"/>
      <c r="J176" s="2385" t="str">
        <f>IFERROR(VLOOKUP($B176,'Список мероприятий'!$AX$8:$BB$30,4,FALSE),"")</f>
        <v/>
      </c>
      <c r="K176" s="2386"/>
      <c r="L176" s="2387"/>
      <c r="M176" s="2388" t="str">
        <f>IFERROR(VLOOKUP($B176,'Список мероприятий'!$AX$8:$BB$30,5,FALSE),"")</f>
        <v/>
      </c>
      <c r="N176" s="2389"/>
      <c r="O176" s="2390"/>
      <c r="P176" s="264"/>
      <c r="Q176" s="264"/>
      <c r="R176" s="264"/>
      <c r="S176" s="264"/>
      <c r="T176" s="264"/>
      <c r="U176" s="264"/>
      <c r="V176" s="264"/>
      <c r="W176" s="264"/>
      <c r="X176" s="264"/>
      <c r="Y176" s="264"/>
      <c r="Z176" s="264"/>
      <c r="AA176" s="264"/>
      <c r="AB176" s="264"/>
      <c r="AC176" s="264"/>
    </row>
    <row r="177" spans="1:29" ht="30" customHeight="1" x14ac:dyDescent="0.25">
      <c r="A177" s="264"/>
      <c r="B177" s="1666">
        <v>19</v>
      </c>
      <c r="C177" s="2382" t="str">
        <f>IFERROR(VLOOKUP($B177,'Список мероприятий'!$AX$8:$BB$30,2,FALSE),"")</f>
        <v/>
      </c>
      <c r="D177" s="2383"/>
      <c r="E177" s="2384"/>
      <c r="F177" s="2385" t="str">
        <f>IFERROR(VLOOKUP($B177,'Список мероприятий'!$AX$8:$BB$30,3,FALSE),"")</f>
        <v/>
      </c>
      <c r="G177" s="2386"/>
      <c r="H177" s="2386"/>
      <c r="I177" s="2387"/>
      <c r="J177" s="2385" t="str">
        <f>IFERROR(VLOOKUP($B177,'Список мероприятий'!$AX$8:$BB$30,4,FALSE),"")</f>
        <v/>
      </c>
      <c r="K177" s="2386"/>
      <c r="L177" s="2387"/>
      <c r="M177" s="2388" t="str">
        <f>IFERROR(VLOOKUP($B177,'Список мероприятий'!$AX$8:$BB$30,5,FALSE),"")</f>
        <v/>
      </c>
      <c r="N177" s="2389"/>
      <c r="O177" s="2390"/>
      <c r="P177" s="264"/>
      <c r="Q177" s="264"/>
      <c r="R177" s="264"/>
      <c r="S177" s="264"/>
      <c r="T177" s="264"/>
      <c r="U177" s="264"/>
      <c r="V177" s="264"/>
      <c r="W177" s="264"/>
      <c r="X177" s="264"/>
      <c r="Y177" s="264"/>
      <c r="Z177" s="264"/>
      <c r="AA177" s="264"/>
      <c r="AB177" s="264"/>
      <c r="AC177" s="264"/>
    </row>
    <row r="178" spans="1:29" ht="30" customHeight="1" x14ac:dyDescent="0.25">
      <c r="A178" s="264"/>
      <c r="B178" s="1666">
        <v>20</v>
      </c>
      <c r="C178" s="2382" t="str">
        <f>IFERROR(VLOOKUP($B178,'Список мероприятий'!$AX$8:$BB$30,2,FALSE),"")</f>
        <v/>
      </c>
      <c r="D178" s="2383"/>
      <c r="E178" s="2384"/>
      <c r="F178" s="2385" t="str">
        <f>IFERROR(VLOOKUP($B178,'Список мероприятий'!$AX$8:$BB$30,3,FALSE),"")</f>
        <v/>
      </c>
      <c r="G178" s="2386"/>
      <c r="H178" s="2386"/>
      <c r="I178" s="2387"/>
      <c r="J178" s="2385" t="str">
        <f>IFERROR(VLOOKUP($B178,'Список мероприятий'!$AX$8:$BB$30,4,FALSE),"")</f>
        <v/>
      </c>
      <c r="K178" s="2386"/>
      <c r="L178" s="2387"/>
      <c r="M178" s="2388" t="str">
        <f>IFERROR(VLOOKUP($B178,'Список мероприятий'!$AX$8:$BB$30,5,FALSE),"")</f>
        <v/>
      </c>
      <c r="N178" s="2389"/>
      <c r="O178" s="2390"/>
      <c r="P178" s="264"/>
      <c r="Q178" s="264"/>
      <c r="R178" s="264"/>
      <c r="S178" s="264"/>
      <c r="T178" s="264"/>
      <c r="U178" s="264"/>
      <c r="V178" s="264"/>
      <c r="W178" s="264"/>
      <c r="X178" s="264"/>
      <c r="Y178" s="264"/>
      <c r="Z178" s="264"/>
      <c r="AA178" s="264"/>
      <c r="AB178" s="264"/>
      <c r="AC178" s="264"/>
    </row>
    <row r="179" spans="1:29" ht="30" customHeight="1" x14ac:dyDescent="0.25">
      <c r="A179" s="264"/>
      <c r="B179" s="1666">
        <v>21</v>
      </c>
      <c r="C179" s="2382" t="str">
        <f>IFERROR(VLOOKUP($B179,'Список мероприятий'!$AX$8:$BB$30,2,FALSE),"")</f>
        <v/>
      </c>
      <c r="D179" s="2383"/>
      <c r="E179" s="2384"/>
      <c r="F179" s="2385" t="str">
        <f>IFERROR(VLOOKUP($B179,'Список мероприятий'!$AX$8:$BB$30,3,FALSE),"")</f>
        <v/>
      </c>
      <c r="G179" s="2386"/>
      <c r="H179" s="2386"/>
      <c r="I179" s="2387"/>
      <c r="J179" s="2385" t="str">
        <f>IFERROR(VLOOKUP($B179,'Список мероприятий'!$AX$8:$BB$30,4,FALSE),"")</f>
        <v/>
      </c>
      <c r="K179" s="2386"/>
      <c r="L179" s="2387"/>
      <c r="M179" s="2388" t="str">
        <f>IFERROR(VLOOKUP($B179,'Список мероприятий'!$AX$8:$BB$30,5,FALSE),"")</f>
        <v/>
      </c>
      <c r="N179" s="2389"/>
      <c r="O179" s="2390"/>
      <c r="P179" s="264"/>
      <c r="Q179" s="264"/>
      <c r="R179" s="264"/>
      <c r="S179" s="264"/>
      <c r="T179" s="264"/>
      <c r="U179" s="264"/>
      <c r="V179" s="264"/>
      <c r="W179" s="264"/>
      <c r="X179" s="264"/>
      <c r="Y179" s="264"/>
      <c r="Z179" s="264"/>
      <c r="AA179" s="264"/>
      <c r="AB179" s="264"/>
      <c r="AC179" s="264"/>
    </row>
    <row r="180" spans="1:29" ht="30" customHeight="1" x14ac:dyDescent="0.25">
      <c r="A180" s="264"/>
      <c r="B180" s="1666">
        <v>22</v>
      </c>
      <c r="C180" s="2382" t="str">
        <f>IFERROR(VLOOKUP($B180,'Список мероприятий'!$AX$8:$BB$30,2,FALSE),"")</f>
        <v/>
      </c>
      <c r="D180" s="2383"/>
      <c r="E180" s="2384"/>
      <c r="F180" s="2385" t="str">
        <f>IFERROR(VLOOKUP($B180,'Список мероприятий'!$AX$8:$BB$30,3,FALSE),"")</f>
        <v/>
      </c>
      <c r="G180" s="2386"/>
      <c r="H180" s="2386"/>
      <c r="I180" s="2387"/>
      <c r="J180" s="2385" t="str">
        <f>IFERROR(VLOOKUP($B180,'Список мероприятий'!$AX$8:$BB$30,4,FALSE),"")</f>
        <v/>
      </c>
      <c r="K180" s="2386"/>
      <c r="L180" s="2387"/>
      <c r="M180" s="2388" t="str">
        <f>IFERROR(VLOOKUP($B180,'Список мероприятий'!$AX$8:$BB$30,5,FALSE),"")</f>
        <v/>
      </c>
      <c r="N180" s="2389"/>
      <c r="O180" s="2390"/>
      <c r="P180" s="264"/>
      <c r="Q180" s="264"/>
      <c r="R180" s="264"/>
      <c r="S180" s="264"/>
      <c r="T180" s="264"/>
      <c r="U180" s="264"/>
      <c r="V180" s="264"/>
      <c r="W180" s="264"/>
      <c r="X180" s="264"/>
      <c r="Y180" s="264"/>
      <c r="Z180" s="264"/>
      <c r="AA180" s="264"/>
      <c r="AB180" s="264"/>
      <c r="AC180" s="264"/>
    </row>
    <row r="181" spans="1:29" ht="30" customHeight="1" x14ac:dyDescent="0.25">
      <c r="A181" s="264"/>
      <c r="B181" s="1666">
        <v>23</v>
      </c>
      <c r="C181" s="2382" t="str">
        <f>IFERROR(VLOOKUP($B181,'Список мероприятий'!$AX$8:$BB$30,2,FALSE),"")</f>
        <v/>
      </c>
      <c r="D181" s="2383"/>
      <c r="E181" s="2384"/>
      <c r="F181" s="2385" t="str">
        <f>IFERROR(VLOOKUP($B181,'Список мероприятий'!$AX$8:$BB$30,3,FALSE),"")</f>
        <v/>
      </c>
      <c r="G181" s="2386"/>
      <c r="H181" s="2386"/>
      <c r="I181" s="2387"/>
      <c r="J181" s="2385" t="str">
        <f>IFERROR(VLOOKUP($B181,'Список мероприятий'!$AX$8:$BB$30,4,FALSE),"")</f>
        <v/>
      </c>
      <c r="K181" s="2386"/>
      <c r="L181" s="2387"/>
      <c r="M181" s="2388" t="str">
        <f>IFERROR(VLOOKUP($B181,'Список мероприятий'!$AX$8:$BB$30,5,FALSE),"")</f>
        <v/>
      </c>
      <c r="N181" s="2389"/>
      <c r="O181" s="2390"/>
      <c r="P181" s="264"/>
      <c r="Q181" s="264"/>
      <c r="R181" s="264"/>
      <c r="S181" s="264"/>
      <c r="T181" s="264"/>
      <c r="U181" s="264"/>
      <c r="V181" s="264"/>
      <c r="W181" s="264"/>
      <c r="X181" s="264"/>
      <c r="Y181" s="264"/>
      <c r="Z181" s="264"/>
      <c r="AA181" s="264"/>
      <c r="AB181" s="264"/>
      <c r="AC181" s="264"/>
    </row>
    <row r="182" spans="1:29" s="1683" customFormat="1" ht="30" customHeight="1" x14ac:dyDescent="0.25">
      <c r="A182" s="264"/>
      <c r="B182" s="2334" t="s">
        <v>2282</v>
      </c>
      <c r="C182" s="2334"/>
      <c r="D182" s="2334"/>
      <c r="E182" s="2334"/>
      <c r="F182" s="2334"/>
      <c r="G182" s="2334"/>
      <c r="H182" s="2334"/>
      <c r="I182" s="2334"/>
      <c r="J182" s="2334"/>
      <c r="K182" s="2334"/>
      <c r="L182" s="2334"/>
      <c r="M182" s="2334"/>
      <c r="N182" s="2334"/>
      <c r="O182" s="2334"/>
      <c r="P182" s="264"/>
      <c r="Q182" s="264"/>
      <c r="R182" s="264"/>
      <c r="S182" s="264"/>
      <c r="T182" s="264"/>
      <c r="U182" s="264"/>
      <c r="V182" s="264"/>
      <c r="W182" s="264"/>
      <c r="X182" s="264"/>
      <c r="Y182" s="264"/>
      <c r="Z182" s="264"/>
      <c r="AA182" s="264"/>
      <c r="AB182" s="264"/>
      <c r="AC182" s="264"/>
    </row>
    <row r="183" spans="1:29" s="1683" customFormat="1" ht="28.5" x14ac:dyDescent="0.25">
      <c r="A183" s="1650"/>
      <c r="B183" s="1665" t="s">
        <v>2147</v>
      </c>
      <c r="C183" s="2353" t="s">
        <v>829</v>
      </c>
      <c r="D183" s="2353"/>
      <c r="E183" s="2353"/>
      <c r="F183" s="2353"/>
      <c r="G183" s="2353"/>
      <c r="H183" s="2353"/>
      <c r="I183" s="2353"/>
      <c r="J183" s="2353"/>
      <c r="K183" s="2353"/>
      <c r="L183" s="1664" t="s">
        <v>2165</v>
      </c>
      <c r="M183" s="2353" t="s">
        <v>862</v>
      </c>
      <c r="N183" s="2353"/>
      <c r="O183" s="2353"/>
      <c r="P183" s="1650"/>
      <c r="Q183" s="1650"/>
      <c r="R183" s="1650"/>
      <c r="S183" s="1650"/>
      <c r="T183" s="1650"/>
      <c r="U183" s="1650"/>
      <c r="V183" s="1650"/>
      <c r="W183" s="1650"/>
      <c r="X183" s="1650"/>
      <c r="Y183" s="1650"/>
      <c r="Z183" s="1650"/>
      <c r="AA183" s="1650"/>
      <c r="AB183" s="1650"/>
      <c r="AC183" s="1650"/>
    </row>
    <row r="184" spans="1:29" s="1683" customFormat="1" ht="15" customHeight="1" x14ac:dyDescent="0.25">
      <c r="A184" s="1650"/>
      <c r="B184" s="1666">
        <v>1</v>
      </c>
      <c r="C184" s="2314" t="s">
        <v>2283</v>
      </c>
      <c r="D184" s="2314"/>
      <c r="E184" s="2314"/>
      <c r="F184" s="2314"/>
      <c r="G184" s="2314"/>
      <c r="H184" s="2314"/>
      <c r="I184" s="2314"/>
      <c r="J184" s="2361" t="s">
        <v>1683</v>
      </c>
      <c r="K184" s="2361"/>
      <c r="L184" s="1663" t="s">
        <v>1167</v>
      </c>
      <c r="M184" s="2391">
        <f ca="1">ROUND('Расчет базового уровня'!D13+'Расчет базового уровня'!D16,3)</f>
        <v>1338.74</v>
      </c>
      <c r="N184" s="2391"/>
      <c r="O184" s="2391"/>
      <c r="P184" s="1650"/>
      <c r="Q184" s="1650"/>
      <c r="R184" s="1650"/>
      <c r="S184" s="1650"/>
      <c r="T184" s="1650"/>
      <c r="U184" s="1650"/>
      <c r="V184" s="1650"/>
      <c r="W184" s="1650"/>
      <c r="X184" s="1650"/>
      <c r="Y184" s="1650"/>
      <c r="Z184" s="1650"/>
      <c r="AA184" s="1650"/>
      <c r="AB184" s="1650"/>
      <c r="AC184" s="1650"/>
    </row>
    <row r="185" spans="1:29" s="1683" customFormat="1" ht="15" customHeight="1" x14ac:dyDescent="0.25">
      <c r="A185" s="1650"/>
      <c r="B185" s="1666">
        <v>2</v>
      </c>
      <c r="C185" s="2314"/>
      <c r="D185" s="2314"/>
      <c r="E185" s="2314"/>
      <c r="F185" s="2314"/>
      <c r="G185" s="2314"/>
      <c r="H185" s="2314"/>
      <c r="I185" s="2314"/>
      <c r="J185" s="2361" t="s">
        <v>1684</v>
      </c>
      <c r="K185" s="2361"/>
      <c r="L185" s="1663" t="s">
        <v>2275</v>
      </c>
      <c r="M185" s="2392">
        <f>ROUND('Расчет базового уровня'!D18/1000,2)</f>
        <v>22.86</v>
      </c>
      <c r="N185" s="2392"/>
      <c r="O185" s="2392"/>
      <c r="P185" s="1650"/>
      <c r="Q185" s="1650"/>
      <c r="R185" s="1650"/>
      <c r="S185" s="1650"/>
      <c r="T185" s="1650"/>
      <c r="U185" s="1650"/>
      <c r="V185" s="1650"/>
      <c r="W185" s="1650"/>
      <c r="X185" s="1650"/>
      <c r="Y185" s="1650"/>
      <c r="Z185" s="1650"/>
      <c r="AA185" s="1650"/>
      <c r="AB185" s="1650"/>
      <c r="AC185" s="1650"/>
    </row>
    <row r="186" spans="1:29" ht="15" customHeight="1" x14ac:dyDescent="0.25">
      <c r="A186" s="264"/>
      <c r="B186" s="1666">
        <v>3</v>
      </c>
      <c r="C186" s="2314" t="s">
        <v>2284</v>
      </c>
      <c r="D186" s="2314"/>
      <c r="E186" s="2314"/>
      <c r="F186" s="2314"/>
      <c r="G186" s="2314"/>
      <c r="H186" s="2314"/>
      <c r="I186" s="2314"/>
      <c r="J186" s="2361" t="s">
        <v>1291</v>
      </c>
      <c r="K186" s="2361"/>
      <c r="L186" s="1666" t="s">
        <v>1770</v>
      </c>
      <c r="M186" s="2393">
        <f ca="1">IFERROR('Экономический расчет'!H22,"-")</f>
        <v>2509542.83</v>
      </c>
      <c r="N186" s="2393"/>
      <c r="O186" s="2393"/>
      <c r="P186" s="264"/>
      <c r="Q186" s="264"/>
      <c r="R186" s="264"/>
      <c r="S186" s="264"/>
      <c r="T186" s="264"/>
      <c r="U186" s="264"/>
      <c r="V186" s="264"/>
      <c r="W186" s="264"/>
      <c r="X186" s="264"/>
      <c r="Y186" s="264"/>
      <c r="Z186" s="264"/>
      <c r="AA186" s="264"/>
      <c r="AB186" s="264"/>
      <c r="AC186" s="264"/>
    </row>
    <row r="187" spans="1:29" ht="15" customHeight="1" x14ac:dyDescent="0.25">
      <c r="A187" s="264"/>
      <c r="B187" s="1666">
        <v>4</v>
      </c>
      <c r="C187" s="2314"/>
      <c r="D187" s="2314"/>
      <c r="E187" s="2314"/>
      <c r="F187" s="2314"/>
      <c r="G187" s="2314"/>
      <c r="H187" s="2314"/>
      <c r="I187" s="2314"/>
      <c r="J187" s="2361" t="s">
        <v>2285</v>
      </c>
      <c r="K187" s="2361"/>
      <c r="L187" s="1666" t="s">
        <v>1770</v>
      </c>
      <c r="M187" s="2393">
        <f ca="1">IFERROR('Экономический расчет'!H23,"-")</f>
        <v>2422918.59</v>
      </c>
      <c r="N187" s="2381"/>
      <c r="O187" s="2381"/>
      <c r="P187" s="264"/>
      <c r="Q187" s="264"/>
      <c r="R187" s="264"/>
      <c r="S187" s="264"/>
      <c r="T187" s="264"/>
      <c r="U187" s="264"/>
      <c r="V187" s="264"/>
      <c r="W187" s="264"/>
      <c r="X187" s="264"/>
      <c r="Y187" s="264"/>
      <c r="Z187" s="264"/>
      <c r="AA187" s="264"/>
      <c r="AB187" s="264"/>
      <c r="AC187" s="264"/>
    </row>
    <row r="188" spans="1:29" ht="15" customHeight="1" x14ac:dyDescent="0.25">
      <c r="A188" s="264"/>
      <c r="B188" s="1666">
        <v>5</v>
      </c>
      <c r="C188" s="2314"/>
      <c r="D188" s="2314"/>
      <c r="E188" s="2314"/>
      <c r="F188" s="2314"/>
      <c r="G188" s="2314"/>
      <c r="H188" s="2314"/>
      <c r="I188" s="2314"/>
      <c r="J188" s="2361" t="s">
        <v>2286</v>
      </c>
      <c r="K188" s="2361"/>
      <c r="L188" s="1666" t="s">
        <v>1770</v>
      </c>
      <c r="M188" s="2393">
        <f>IFERROR('Экономический расчет'!H26,"-")</f>
        <v>86624.24</v>
      </c>
      <c r="N188" s="2381"/>
      <c r="O188" s="2381"/>
      <c r="P188" s="264"/>
      <c r="Q188" s="264"/>
      <c r="R188" s="264"/>
      <c r="S188" s="264"/>
      <c r="T188" s="264"/>
      <c r="U188" s="264"/>
      <c r="V188" s="264"/>
      <c r="W188" s="264"/>
      <c r="X188" s="264"/>
      <c r="Y188" s="264"/>
      <c r="Z188" s="264"/>
      <c r="AA188" s="264"/>
      <c r="AB188" s="264"/>
      <c r="AC188" s="264"/>
    </row>
    <row r="189" spans="1:29" ht="15" customHeight="1" x14ac:dyDescent="0.25">
      <c r="A189" s="264"/>
      <c r="B189" s="1666">
        <v>6</v>
      </c>
      <c r="C189" s="2314" t="s">
        <v>2287</v>
      </c>
      <c r="D189" s="2314"/>
      <c r="E189" s="2314"/>
      <c r="F189" s="2314"/>
      <c r="G189" s="2314"/>
      <c r="H189" s="2314"/>
      <c r="I189" s="2314"/>
      <c r="J189" s="2361" t="s">
        <v>1683</v>
      </c>
      <c r="K189" s="2361"/>
      <c r="L189" s="1663" t="s">
        <v>1167</v>
      </c>
      <c r="M189" s="2391">
        <f ca="1">ROUND(IF(списки!C53=0,0,'Расчет после реализации'!D12+'Расчет после реализации'!D15)/1163,3)</f>
        <v>1158.443</v>
      </c>
      <c r="N189" s="2391"/>
      <c r="O189" s="2391"/>
      <c r="P189" s="264"/>
      <c r="Q189" s="264"/>
      <c r="R189" s="264"/>
      <c r="S189" s="264"/>
      <c r="T189" s="264"/>
      <c r="U189" s="264"/>
      <c r="V189" s="264"/>
      <c r="W189" s="264"/>
      <c r="X189" s="264"/>
      <c r="Y189" s="264"/>
      <c r="Z189" s="264"/>
      <c r="AA189" s="264"/>
      <c r="AB189" s="264"/>
      <c r="AC189" s="264"/>
    </row>
    <row r="190" spans="1:29" ht="15" customHeight="1" x14ac:dyDescent="0.25">
      <c r="A190" s="264"/>
      <c r="B190" s="1666">
        <v>7</v>
      </c>
      <c r="C190" s="2314"/>
      <c r="D190" s="2314"/>
      <c r="E190" s="2314"/>
      <c r="F190" s="2314"/>
      <c r="G190" s="2314"/>
      <c r="H190" s="2314"/>
      <c r="I190" s="2314"/>
      <c r="J190" s="2361" t="s">
        <v>1684</v>
      </c>
      <c r="K190" s="2361"/>
      <c r="L190" s="1663" t="s">
        <v>2275</v>
      </c>
      <c r="M190" s="2392">
        <f ca="1">ROUND(IF(списки!C53=0,0,'Расчет после реализации'!D18)/1000,2)</f>
        <v>23.99</v>
      </c>
      <c r="N190" s="2392"/>
      <c r="O190" s="2392"/>
      <c r="P190" s="264"/>
      <c r="Q190" s="264"/>
      <c r="R190" s="264"/>
      <c r="S190" s="264"/>
      <c r="T190" s="264"/>
      <c r="U190" s="264"/>
      <c r="V190" s="264"/>
      <c r="W190" s="264"/>
      <c r="X190" s="264"/>
      <c r="Y190" s="264"/>
      <c r="Z190" s="264"/>
      <c r="AA190" s="264"/>
      <c r="AB190" s="264"/>
      <c r="AC190" s="264"/>
    </row>
    <row r="191" spans="1:29" ht="15" customHeight="1" x14ac:dyDescent="0.25">
      <c r="A191" s="264"/>
      <c r="B191" s="1666">
        <v>8</v>
      </c>
      <c r="C191" s="2314" t="s">
        <v>2288</v>
      </c>
      <c r="D191" s="2314"/>
      <c r="E191" s="2314"/>
      <c r="F191" s="2314"/>
      <c r="G191" s="2314"/>
      <c r="H191" s="2314"/>
      <c r="I191" s="2314"/>
      <c r="J191" s="2361" t="s">
        <v>1291</v>
      </c>
      <c r="K191" s="2361"/>
      <c r="L191" s="1666" t="s">
        <v>1770</v>
      </c>
      <c r="M191" s="2393">
        <f ca="1">IFERROR('Экономический расчет'!J22,"-")</f>
        <v>2187536.5900000003</v>
      </c>
      <c r="N191" s="2393"/>
      <c r="O191" s="2393"/>
      <c r="P191" s="264"/>
      <c r="Q191" s="264"/>
      <c r="R191" s="264"/>
      <c r="S191" s="264"/>
      <c r="T191" s="264"/>
      <c r="U191" s="264"/>
      <c r="V191" s="264"/>
      <c r="W191" s="264"/>
      <c r="X191" s="264"/>
      <c r="Y191" s="264"/>
      <c r="Z191" s="264"/>
      <c r="AA191" s="264"/>
      <c r="AB191" s="264"/>
      <c r="AC191" s="264"/>
    </row>
    <row r="192" spans="1:29" ht="15" customHeight="1" x14ac:dyDescent="0.25">
      <c r="A192" s="264"/>
      <c r="B192" s="1666">
        <v>9</v>
      </c>
      <c r="C192" s="2314"/>
      <c r="D192" s="2314"/>
      <c r="E192" s="2314"/>
      <c r="F192" s="2314"/>
      <c r="G192" s="2314"/>
      <c r="H192" s="2314"/>
      <c r="I192" s="2314"/>
      <c r="J192" s="2361" t="s">
        <v>2285</v>
      </c>
      <c r="K192" s="2361"/>
      <c r="L192" s="1666" t="s">
        <v>1770</v>
      </c>
      <c r="M192" s="2393">
        <f ca="1">IFERROR('Экономический расчет'!J23,"-")</f>
        <v>2096608.7000000002</v>
      </c>
      <c r="N192" s="2381"/>
      <c r="O192" s="2381"/>
      <c r="P192" s="264"/>
      <c r="Q192" s="264"/>
      <c r="R192" s="264"/>
      <c r="S192" s="264"/>
      <c r="T192" s="264"/>
      <c r="U192" s="264"/>
      <c r="V192" s="264"/>
      <c r="W192" s="264"/>
      <c r="X192" s="264"/>
      <c r="Y192" s="264"/>
      <c r="Z192" s="264"/>
      <c r="AA192" s="264"/>
      <c r="AB192" s="264"/>
      <c r="AC192" s="264"/>
    </row>
    <row r="193" spans="1:29" ht="15" customHeight="1" x14ac:dyDescent="0.25">
      <c r="A193" s="264"/>
      <c r="B193" s="1666">
        <v>10</v>
      </c>
      <c r="C193" s="2314"/>
      <c r="D193" s="2314"/>
      <c r="E193" s="2314"/>
      <c r="F193" s="2314"/>
      <c r="G193" s="2314"/>
      <c r="H193" s="2314"/>
      <c r="I193" s="2314"/>
      <c r="J193" s="2361" t="s">
        <v>2286</v>
      </c>
      <c r="K193" s="2361"/>
      <c r="L193" s="1666" t="s">
        <v>1770</v>
      </c>
      <c r="M193" s="2393">
        <f ca="1">IFERROR('Экономический расчет'!J26,"-")</f>
        <v>90927.89</v>
      </c>
      <c r="N193" s="2381"/>
      <c r="O193" s="2381"/>
      <c r="P193" s="264"/>
      <c r="Q193" s="264"/>
      <c r="R193" s="264"/>
      <c r="S193" s="264"/>
      <c r="T193" s="264"/>
      <c r="U193" s="264"/>
      <c r="V193" s="264"/>
      <c r="W193" s="264"/>
      <c r="X193" s="264"/>
      <c r="Y193" s="264"/>
      <c r="Z193" s="264"/>
      <c r="AA193" s="264"/>
      <c r="AB193" s="264"/>
      <c r="AC193" s="264"/>
    </row>
    <row r="194" spans="1:29" ht="15" customHeight="1" x14ac:dyDescent="0.25">
      <c r="A194" s="264"/>
      <c r="B194" s="1666">
        <v>11</v>
      </c>
      <c r="C194" s="2314" t="s">
        <v>2289</v>
      </c>
      <c r="D194" s="2314"/>
      <c r="E194" s="2314"/>
      <c r="F194" s="2314"/>
      <c r="G194" s="2314"/>
      <c r="H194" s="2314"/>
      <c r="I194" s="2314"/>
      <c r="J194" s="2314"/>
      <c r="K194" s="2314"/>
      <c r="L194" s="1666" t="s">
        <v>1164</v>
      </c>
      <c r="M194" s="2351">
        <f ca="1">IFERROR(ROUND(100*'Экономический расчет'!H33,2),"-")</f>
        <v>12.83</v>
      </c>
      <c r="N194" s="2351"/>
      <c r="O194" s="2351"/>
      <c r="P194" s="264"/>
      <c r="Q194" s="264"/>
      <c r="R194" s="264"/>
      <c r="S194" s="264"/>
      <c r="T194" s="264"/>
      <c r="U194" s="264"/>
      <c r="V194" s="264"/>
      <c r="W194" s="264"/>
      <c r="X194" s="264"/>
      <c r="Y194" s="264"/>
      <c r="Z194" s="264"/>
      <c r="AA194" s="264"/>
      <c r="AB194" s="264"/>
      <c r="AC194" s="264"/>
    </row>
    <row r="195" spans="1:29" ht="15" customHeight="1" x14ac:dyDescent="0.25">
      <c r="A195" s="264"/>
      <c r="B195" s="1666">
        <v>12</v>
      </c>
      <c r="C195" s="2314" t="s">
        <v>2290</v>
      </c>
      <c r="D195" s="2314"/>
      <c r="E195" s="2314"/>
      <c r="F195" s="2314"/>
      <c r="G195" s="2314"/>
      <c r="H195" s="2314"/>
      <c r="I195" s="2314"/>
      <c r="J195" s="2314"/>
      <c r="K195" s="2314"/>
      <c r="L195" s="1666" t="s">
        <v>1770</v>
      </c>
      <c r="M195" s="2393">
        <f ca="1">IFERROR('Экономический расчет'!H32,"-")</f>
        <v>321974.34999999998</v>
      </c>
      <c r="N195" s="2393"/>
      <c r="O195" s="2393"/>
      <c r="P195" s="264"/>
      <c r="Q195" s="264"/>
      <c r="R195" s="264"/>
      <c r="S195" s="264"/>
      <c r="T195" s="264"/>
      <c r="U195" s="264"/>
      <c r="V195" s="264"/>
      <c r="W195" s="264"/>
      <c r="X195" s="264"/>
      <c r="Y195" s="264"/>
      <c r="Z195" s="264"/>
      <c r="AA195" s="264"/>
      <c r="AB195" s="264"/>
      <c r="AC195" s="264"/>
    </row>
    <row r="196" spans="1:29" ht="15" customHeight="1" x14ac:dyDescent="0.25">
      <c r="A196" s="264"/>
      <c r="B196" s="1666">
        <v>13</v>
      </c>
      <c r="C196" s="2314" t="s">
        <v>2291</v>
      </c>
      <c r="D196" s="2314"/>
      <c r="E196" s="2314"/>
      <c r="F196" s="2314"/>
      <c r="G196" s="2314"/>
      <c r="H196" s="2314"/>
      <c r="I196" s="2314"/>
      <c r="J196" s="2314"/>
      <c r="K196" s="2314"/>
      <c r="L196" s="1666" t="s">
        <v>1770</v>
      </c>
      <c r="M196" s="2393">
        <f ca="1">IFERROR('Экономический расчет'!H81,"-")</f>
        <v>244213.18400000001</v>
      </c>
      <c r="N196" s="2393"/>
      <c r="O196" s="2393"/>
      <c r="P196" s="264"/>
      <c r="Q196" s="264"/>
      <c r="R196" s="264"/>
      <c r="S196" s="264"/>
      <c r="T196" s="264"/>
      <c r="U196" s="264"/>
      <c r="V196" s="264"/>
      <c r="W196" s="264"/>
      <c r="X196" s="264"/>
      <c r="Y196" s="264"/>
      <c r="Z196" s="264"/>
      <c r="AA196" s="264"/>
      <c r="AB196" s="264"/>
      <c r="AC196" s="264"/>
    </row>
    <row r="197" spans="1:29" x14ac:dyDescent="0.25">
      <c r="A197" s="264"/>
      <c r="B197" s="1651"/>
      <c r="C197" s="1652"/>
      <c r="D197" s="1653"/>
      <c r="E197" s="1651"/>
      <c r="F197" s="1651"/>
      <c r="G197" s="1653"/>
      <c r="H197" s="1654"/>
      <c r="I197" s="1654"/>
      <c r="J197" s="1654"/>
      <c r="K197" s="1654"/>
      <c r="L197" s="1654"/>
      <c r="M197" s="1654"/>
      <c r="N197" s="1654"/>
      <c r="O197" s="1654"/>
      <c r="P197" s="264"/>
      <c r="Q197" s="264"/>
      <c r="R197" s="264"/>
      <c r="S197" s="264"/>
      <c r="T197" s="264"/>
      <c r="U197" s="264"/>
      <c r="V197" s="264"/>
      <c r="W197" s="264"/>
      <c r="X197" s="264"/>
      <c r="Y197" s="264"/>
      <c r="Z197" s="264"/>
      <c r="AA197" s="264"/>
      <c r="AB197" s="264"/>
      <c r="AC197" s="264"/>
    </row>
    <row r="198" spans="1:29" ht="15.75" customHeight="1" x14ac:dyDescent="0.25">
      <c r="A198" s="264"/>
      <c r="B198" s="2395" t="s">
        <v>2292</v>
      </c>
      <c r="C198" s="2395"/>
      <c r="D198" s="2395"/>
      <c r="E198" s="2395"/>
      <c r="F198" s="2395"/>
      <c r="G198" s="2395"/>
      <c r="H198" s="1654"/>
      <c r="I198" s="1654"/>
      <c r="J198" s="2396"/>
      <c r="K198" s="2396"/>
      <c r="L198" s="1654"/>
      <c r="M198" s="1654"/>
      <c r="N198" s="1654"/>
      <c r="O198" s="1654"/>
      <c r="P198" s="264"/>
      <c r="Q198" s="264"/>
      <c r="R198" s="264"/>
      <c r="S198" s="264"/>
      <c r="T198" s="264"/>
      <c r="U198" s="264"/>
      <c r="V198" s="264"/>
      <c r="W198" s="264"/>
      <c r="X198" s="264"/>
      <c r="Y198" s="264"/>
      <c r="Z198" s="264"/>
      <c r="AA198" s="264"/>
      <c r="AB198" s="264"/>
      <c r="AC198" s="264"/>
    </row>
    <row r="199" spans="1:29" ht="30.75" customHeight="1" x14ac:dyDescent="0.25">
      <c r="A199" s="264"/>
      <c r="B199" s="2395"/>
      <c r="C199" s="2395"/>
      <c r="D199" s="2395"/>
      <c r="E199" s="2395"/>
      <c r="F199" s="2395"/>
      <c r="G199" s="2395"/>
      <c r="H199" s="1654"/>
      <c r="I199" s="1654"/>
      <c r="J199" s="2397" t="s">
        <v>2293</v>
      </c>
      <c r="K199" s="2397"/>
      <c r="L199" s="1654"/>
      <c r="M199" s="2397" t="s">
        <v>2294</v>
      </c>
      <c r="N199" s="2397"/>
      <c r="O199" s="1654"/>
      <c r="P199" s="264"/>
      <c r="Q199" s="264"/>
      <c r="R199" s="264"/>
      <c r="S199" s="264"/>
      <c r="T199" s="264"/>
      <c r="U199" s="264"/>
      <c r="V199" s="264"/>
      <c r="W199" s="264"/>
      <c r="X199" s="264"/>
      <c r="Y199" s="264"/>
      <c r="Z199" s="264"/>
      <c r="AA199" s="264"/>
      <c r="AB199" s="264"/>
      <c r="AC199" s="264"/>
    </row>
    <row r="200" spans="1:29" x14ac:dyDescent="0.25">
      <c r="A200" s="264"/>
      <c r="B200" s="1655"/>
      <c r="C200" s="1656"/>
      <c r="D200" s="1657"/>
      <c r="E200" s="1655"/>
      <c r="F200" s="1655"/>
      <c r="G200" s="1657"/>
      <c r="H200" s="1658"/>
      <c r="I200" s="1658"/>
      <c r="J200" s="1658"/>
      <c r="K200" s="1658"/>
      <c r="L200" s="1658"/>
      <c r="M200" s="1658"/>
      <c r="N200" s="1658"/>
      <c r="O200" s="1658"/>
      <c r="P200" s="264"/>
      <c r="Q200" s="264"/>
      <c r="R200" s="264"/>
      <c r="S200" s="264"/>
      <c r="T200" s="264"/>
      <c r="U200" s="264"/>
      <c r="V200" s="264"/>
      <c r="W200" s="264"/>
      <c r="X200" s="264"/>
      <c r="Y200" s="264"/>
      <c r="Z200" s="264"/>
      <c r="AA200" s="264"/>
      <c r="AB200" s="264"/>
      <c r="AC200" s="264"/>
    </row>
    <row r="201" spans="1:29" x14ac:dyDescent="0.25">
      <c r="A201" s="264"/>
      <c r="B201" s="1655"/>
      <c r="C201" s="1656"/>
      <c r="D201" s="1657"/>
      <c r="E201" s="1655"/>
      <c r="F201" s="1655"/>
      <c r="G201" s="1657"/>
      <c r="H201" s="1658"/>
      <c r="I201" s="1658"/>
      <c r="J201" s="1658"/>
      <c r="K201" s="1658"/>
      <c r="L201" s="1658"/>
      <c r="M201" s="1658"/>
      <c r="N201" s="1658"/>
      <c r="O201" s="1658"/>
      <c r="P201" s="264"/>
      <c r="Q201" s="264"/>
      <c r="R201" s="264"/>
      <c r="S201" s="264"/>
      <c r="T201" s="264"/>
      <c r="U201" s="264"/>
      <c r="V201" s="264"/>
      <c r="W201" s="264"/>
      <c r="X201" s="264"/>
      <c r="Y201" s="264"/>
      <c r="Z201" s="264"/>
      <c r="AA201" s="264"/>
      <c r="AB201" s="264"/>
      <c r="AC201" s="264"/>
    </row>
    <row r="202" spans="1:29" x14ac:dyDescent="0.25">
      <c r="A202" s="264"/>
      <c r="B202" s="1661"/>
      <c r="C202" s="1661"/>
      <c r="D202" s="1659"/>
      <c r="E202" s="1660"/>
      <c r="F202" s="1660"/>
      <c r="G202" s="1659"/>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1"/>
      <c r="C203" s="1661"/>
      <c r="D203" s="1659"/>
      <c r="E203" s="1660"/>
      <c r="F203" s="1660"/>
      <c r="G203" s="1659"/>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1"/>
      <c r="C204" s="1661"/>
      <c r="D204" s="1659"/>
      <c r="E204" s="1660"/>
      <c r="F204" s="1660"/>
      <c r="G204" s="1659"/>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0"/>
      <c r="C205" s="1661"/>
      <c r="D205" s="1659"/>
      <c r="E205" s="1660"/>
      <c r="F205" s="1660"/>
      <c r="G205" s="1659"/>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0"/>
      <c r="C206" s="1661"/>
      <c r="D206" s="1659"/>
      <c r="E206" s="1660"/>
      <c r="F206" s="1660"/>
      <c r="G206" s="1659"/>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0"/>
      <c r="C207" s="1661"/>
      <c r="D207" s="1659"/>
      <c r="E207" s="1660"/>
      <c r="F207" s="1660"/>
      <c r="G207" s="1659"/>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0"/>
      <c r="C208" s="1661"/>
      <c r="D208" s="1659"/>
      <c r="E208" s="1660"/>
      <c r="F208" s="1660"/>
      <c r="G208" s="1659"/>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0"/>
      <c r="C209" s="1661"/>
      <c r="D209" s="1659"/>
      <c r="E209" s="1660"/>
      <c r="F209" s="1660"/>
      <c r="G209" s="1659"/>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0"/>
      <c r="C210" s="1661"/>
      <c r="D210" s="1659"/>
      <c r="E210" s="1660"/>
      <c r="F210" s="1660"/>
      <c r="G210" s="1659"/>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0"/>
      <c r="C211" s="1661"/>
      <c r="D211" s="1659"/>
      <c r="E211" s="1660"/>
      <c r="F211" s="1660"/>
      <c r="G211" s="1659"/>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0"/>
      <c r="C212" s="1661"/>
      <c r="D212" s="1659"/>
      <c r="E212" s="1660"/>
      <c r="F212" s="1660"/>
      <c r="G212" s="1659"/>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0"/>
      <c r="C213" s="1661"/>
      <c r="D213" s="1659"/>
      <c r="E213" s="1660"/>
      <c r="F213" s="1660"/>
      <c r="G213" s="1659"/>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0"/>
      <c r="C214" s="1661"/>
      <c r="D214" s="1659"/>
      <c r="E214" s="1660"/>
      <c r="F214" s="1660"/>
      <c r="G214" s="1659"/>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0"/>
      <c r="C215" s="1661"/>
      <c r="D215" s="1659"/>
      <c r="E215" s="1660"/>
      <c r="F215" s="1660"/>
      <c r="G215" s="1659"/>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0"/>
      <c r="C216" s="1661"/>
      <c r="D216" s="1659"/>
      <c r="E216" s="1660"/>
      <c r="F216" s="1660"/>
      <c r="G216" s="1659"/>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0"/>
      <c r="C217" s="1661"/>
      <c r="D217" s="1659"/>
      <c r="E217" s="1660"/>
      <c r="F217" s="1660"/>
      <c r="G217" s="1659"/>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2:E162"/>
    <mergeCell ref="F162:I162"/>
    <mergeCell ref="J162:L162"/>
    <mergeCell ref="M162:O162"/>
    <mergeCell ref="C159:E159"/>
    <mergeCell ref="F159:I159"/>
    <mergeCell ref="J159:L159"/>
    <mergeCell ref="M159:O159"/>
    <mergeCell ref="C160:E160"/>
    <mergeCell ref="F160:I160"/>
    <mergeCell ref="J160:L160"/>
    <mergeCell ref="M160:O160"/>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37:K137"/>
    <mergeCell ref="M137:O137"/>
    <mergeCell ref="C138:K138"/>
    <mergeCell ref="M138:O138"/>
    <mergeCell ref="B139:O139"/>
    <mergeCell ref="B140:C140"/>
    <mergeCell ref="D140:D141"/>
    <mergeCell ref="E140:G140"/>
    <mergeCell ref="H140:J140"/>
    <mergeCell ref="K140:O140"/>
    <mergeCell ref="B141:B142"/>
    <mergeCell ref="C141:C142"/>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19:K119"/>
    <mergeCell ref="M119:O119"/>
    <mergeCell ref="B120:O120"/>
    <mergeCell ref="C121:K121"/>
    <mergeCell ref="M121:O121"/>
    <mergeCell ref="C122:D125"/>
    <mergeCell ref="E122:K122"/>
    <mergeCell ref="M122:O122"/>
    <mergeCell ref="E123:K123"/>
    <mergeCell ref="M123:O123"/>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08:K108"/>
    <mergeCell ref="M108:O108"/>
    <mergeCell ref="C109:K109"/>
    <mergeCell ref="M109:O109"/>
    <mergeCell ref="C110:D111"/>
    <mergeCell ref="E110:K110"/>
    <mergeCell ref="M110:O110"/>
    <mergeCell ref="E111:K111"/>
    <mergeCell ref="M111:O111"/>
    <mergeCell ref="C104:K104"/>
    <mergeCell ref="M104:O104"/>
    <mergeCell ref="C105:K105"/>
    <mergeCell ref="M105:O105"/>
    <mergeCell ref="C106:D107"/>
    <mergeCell ref="E106:K106"/>
    <mergeCell ref="M106:O106"/>
    <mergeCell ref="E107:K107"/>
    <mergeCell ref="M107:O10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98:E98"/>
    <mergeCell ref="F98:G98"/>
    <mergeCell ref="H98:I98"/>
    <mergeCell ref="J98:K98"/>
    <mergeCell ref="L98:M98"/>
    <mergeCell ref="N98:O98"/>
    <mergeCell ref="C97:E97"/>
    <mergeCell ref="F97:G97"/>
    <mergeCell ref="H97:I97"/>
    <mergeCell ref="J97:K97"/>
    <mergeCell ref="L97:M97"/>
    <mergeCell ref="N97:O97"/>
    <mergeCell ref="C96:E96"/>
    <mergeCell ref="F96:G96"/>
    <mergeCell ref="H96:I96"/>
    <mergeCell ref="J96:K96"/>
    <mergeCell ref="L96:M96"/>
    <mergeCell ref="N96:O96"/>
    <mergeCell ref="N94:O94"/>
    <mergeCell ref="C95:E95"/>
    <mergeCell ref="F95:G95"/>
    <mergeCell ref="H95:I95"/>
    <mergeCell ref="J95:K95"/>
    <mergeCell ref="L95:M95"/>
    <mergeCell ref="N95:O95"/>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86:K86"/>
    <mergeCell ref="M86:O86"/>
    <mergeCell ref="C87:K87"/>
    <mergeCell ref="M87:O87"/>
    <mergeCell ref="C88:D90"/>
    <mergeCell ref="E88:K88"/>
    <mergeCell ref="M88:O88"/>
    <mergeCell ref="E89:K89"/>
    <mergeCell ref="M89:O89"/>
    <mergeCell ref="E90:K90"/>
    <mergeCell ref="C83:K83"/>
    <mergeCell ref="M83:O83"/>
    <mergeCell ref="C84:K84"/>
    <mergeCell ref="M84:O84"/>
    <mergeCell ref="C85:K85"/>
    <mergeCell ref="M85:O85"/>
    <mergeCell ref="C80:K80"/>
    <mergeCell ref="M80:O80"/>
    <mergeCell ref="C81:K81"/>
    <mergeCell ref="M81:O81"/>
    <mergeCell ref="C82:K82"/>
    <mergeCell ref="M82:O82"/>
    <mergeCell ref="C76:K76"/>
    <mergeCell ref="M76:O76"/>
    <mergeCell ref="B77:O77"/>
    <mergeCell ref="C78:K78"/>
    <mergeCell ref="M78:O78"/>
    <mergeCell ref="C79:K79"/>
    <mergeCell ref="M79:O79"/>
    <mergeCell ref="C73:K73"/>
    <mergeCell ref="M73:O73"/>
    <mergeCell ref="C74:K74"/>
    <mergeCell ref="M74:O74"/>
    <mergeCell ref="C75:K75"/>
    <mergeCell ref="M75:O75"/>
    <mergeCell ref="B69:O69"/>
    <mergeCell ref="C70:K70"/>
    <mergeCell ref="M70:O70"/>
    <mergeCell ref="C71:K71"/>
    <mergeCell ref="M71:O71"/>
    <mergeCell ref="C72:K72"/>
    <mergeCell ref="M72:O72"/>
    <mergeCell ref="C66:K66"/>
    <mergeCell ref="M66:O66"/>
    <mergeCell ref="C67:K67"/>
    <mergeCell ref="M67:O67"/>
    <mergeCell ref="C68:K68"/>
    <mergeCell ref="M68:O68"/>
    <mergeCell ref="C63:K63"/>
    <mergeCell ref="M63:O63"/>
    <mergeCell ref="C64:K64"/>
    <mergeCell ref="M64:O64"/>
    <mergeCell ref="C65:K65"/>
    <mergeCell ref="M65:O65"/>
    <mergeCell ref="C59:K59"/>
    <mergeCell ref="M59:O59"/>
    <mergeCell ref="B60:O60"/>
    <mergeCell ref="C61:K61"/>
    <mergeCell ref="M61:O61"/>
    <mergeCell ref="C62:K62"/>
    <mergeCell ref="M62:O62"/>
    <mergeCell ref="C56:K56"/>
    <mergeCell ref="M56:O56"/>
    <mergeCell ref="C57:K57"/>
    <mergeCell ref="M57:O57"/>
    <mergeCell ref="C58:K58"/>
    <mergeCell ref="M58:O58"/>
    <mergeCell ref="C53:K53"/>
    <mergeCell ref="M53:O53"/>
    <mergeCell ref="C54:K54"/>
    <mergeCell ref="M54:O54"/>
    <mergeCell ref="C55:K55"/>
    <mergeCell ref="M55:O55"/>
    <mergeCell ref="C50:K50"/>
    <mergeCell ref="M50:O50"/>
    <mergeCell ref="C51:K51"/>
    <mergeCell ref="M51:O51"/>
    <mergeCell ref="C52:K52"/>
    <mergeCell ref="M52:O52"/>
    <mergeCell ref="M46:O46"/>
    <mergeCell ref="E47:K47"/>
    <mergeCell ref="M47:O47"/>
    <mergeCell ref="E48:K48"/>
    <mergeCell ref="M48:O48"/>
    <mergeCell ref="C49:K49"/>
    <mergeCell ref="M49:O49"/>
    <mergeCell ref="C42:K42"/>
    <mergeCell ref="M42:O42"/>
    <mergeCell ref="C43:D48"/>
    <mergeCell ref="E43:K43"/>
    <mergeCell ref="M43:O43"/>
    <mergeCell ref="E44:K44"/>
    <mergeCell ref="M44:O44"/>
    <mergeCell ref="E45:K45"/>
    <mergeCell ref="M45:O45"/>
    <mergeCell ref="E46:K46"/>
    <mergeCell ref="C39:K39"/>
    <mergeCell ref="M39:O39"/>
    <mergeCell ref="C40:K40"/>
    <mergeCell ref="M40:O40"/>
    <mergeCell ref="C41:K41"/>
    <mergeCell ref="M41:O41"/>
    <mergeCell ref="B35:O35"/>
    <mergeCell ref="C36:K36"/>
    <mergeCell ref="M36:O36"/>
    <mergeCell ref="C37:K37"/>
    <mergeCell ref="M37:O37"/>
    <mergeCell ref="C38:K38"/>
    <mergeCell ref="M38:O38"/>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24:D25"/>
    <mergeCell ref="E24:K24"/>
    <mergeCell ref="M24:O24"/>
    <mergeCell ref="E25:K25"/>
    <mergeCell ref="M25:O25"/>
    <mergeCell ref="C26:D28"/>
    <mergeCell ref="E26:K26"/>
    <mergeCell ref="M26:O26"/>
    <mergeCell ref="E27:K27"/>
    <mergeCell ref="M27:O27"/>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12:K12"/>
    <mergeCell ref="M12:O12"/>
    <mergeCell ref="C7:K7"/>
    <mergeCell ref="M7:O7"/>
    <mergeCell ref="C8:K8"/>
    <mergeCell ref="M8:O8"/>
    <mergeCell ref="C9:K9"/>
    <mergeCell ref="M9:O9"/>
    <mergeCell ref="C13:D14"/>
    <mergeCell ref="E13:K13"/>
    <mergeCell ref="M13:O13"/>
    <mergeCell ref="E14:K14"/>
    <mergeCell ref="M14:O14"/>
    <mergeCell ref="C3:K3"/>
    <mergeCell ref="L3:O3"/>
    <mergeCell ref="C4:O4"/>
    <mergeCell ref="C6:K6"/>
    <mergeCell ref="M6:O6"/>
    <mergeCell ref="B5:O5"/>
    <mergeCell ref="C10:K10"/>
    <mergeCell ref="M10:O10"/>
    <mergeCell ref="C11:K11"/>
    <mergeCell ref="M11:O11"/>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tabSelected="1" zoomScaleNormal="100" zoomScaleSheetLayoutView="90" workbookViewId="0">
      <pane ySplit="1" topLeftCell="A65"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163" t="s">
        <v>2501</v>
      </c>
      <c r="C1" s="2163"/>
      <c r="D1" s="2163"/>
      <c r="E1" s="1925" t="s">
        <v>1570</v>
      </c>
      <c r="F1" s="23"/>
      <c r="G1" s="24"/>
      <c r="H1" s="24"/>
      <c r="I1" s="24"/>
    </row>
    <row r="2" spans="1:26" ht="53.25" customHeight="1" x14ac:dyDescent="0.2">
      <c r="A2" s="26"/>
      <c r="B2" s="2403" t="s">
        <v>1723</v>
      </c>
      <c r="C2" s="2403"/>
      <c r="D2" s="2403"/>
      <c r="E2" s="2403"/>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04" t="s">
        <v>1724</v>
      </c>
      <c r="C3" s="2404"/>
      <c r="D3" s="2404"/>
      <c r="E3" s="2404"/>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05" t="s">
        <v>1572</v>
      </c>
      <c r="C4" s="2406"/>
      <c r="D4" s="2406"/>
      <c r="E4" s="2407"/>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08" t="s">
        <v>1573</v>
      </c>
      <c r="C5" s="2409"/>
      <c r="D5" s="2410"/>
      <c r="E5" s="29"/>
      <c r="F5" s="26"/>
      <c r="G5" s="26" t="s">
        <v>0</v>
      </c>
      <c r="H5" s="26" t="s">
        <v>1574</v>
      </c>
      <c r="I5" s="26" t="s">
        <v>1575</v>
      </c>
      <c r="J5" s="26"/>
      <c r="K5" s="26"/>
      <c r="L5" s="26"/>
      <c r="M5" s="26"/>
      <c r="N5" s="26"/>
      <c r="O5" s="26"/>
      <c r="P5" s="26"/>
      <c r="Q5" s="26"/>
      <c r="R5" s="26"/>
      <c r="S5" s="26"/>
      <c r="T5" s="26"/>
      <c r="U5" s="26"/>
      <c r="V5" s="26"/>
      <c r="W5" s="26"/>
      <c r="X5" s="26"/>
      <c r="Y5" s="26"/>
      <c r="Z5" s="26"/>
    </row>
    <row r="6" spans="1:26" s="28" customFormat="1" ht="15" customHeight="1" x14ac:dyDescent="0.2">
      <c r="A6" s="26"/>
      <c r="B6" s="2400" t="s">
        <v>1576</v>
      </c>
      <c r="C6" s="2401"/>
      <c r="D6" s="2402"/>
      <c r="E6" s="30"/>
      <c r="F6" s="26"/>
      <c r="G6" s="26" t="s">
        <v>13</v>
      </c>
      <c r="H6" s="26" t="s">
        <v>1577</v>
      </c>
      <c r="I6" s="26" t="s">
        <v>1578</v>
      </c>
      <c r="J6" s="26"/>
      <c r="K6" s="26"/>
      <c r="L6" s="26"/>
      <c r="M6" s="26"/>
      <c r="N6" s="26"/>
      <c r="O6" s="26"/>
      <c r="P6" s="26"/>
      <c r="Q6" s="26"/>
      <c r="R6" s="26"/>
      <c r="S6" s="26"/>
      <c r="T6" s="26"/>
      <c r="U6" s="26"/>
      <c r="V6" s="26"/>
      <c r="W6" s="26"/>
      <c r="X6" s="26"/>
      <c r="Y6" s="26"/>
      <c r="Z6" s="26"/>
    </row>
    <row r="7" spans="1:26" s="28" customFormat="1" ht="15" customHeight="1" x14ac:dyDescent="0.2">
      <c r="A7" s="26"/>
      <c r="B7" s="2400" t="s">
        <v>1579</v>
      </c>
      <c r="C7" s="2401"/>
      <c r="D7" s="2402"/>
      <c r="E7" s="30"/>
      <c r="F7" s="26"/>
      <c r="G7" s="26" t="s">
        <v>36</v>
      </c>
      <c r="H7" s="26" t="s">
        <v>1580</v>
      </c>
      <c r="I7" s="26" t="s">
        <v>1581</v>
      </c>
      <c r="J7" s="26"/>
      <c r="K7" s="26"/>
      <c r="L7" s="26"/>
      <c r="M7" s="26"/>
      <c r="N7" s="26"/>
      <c r="O7" s="26"/>
      <c r="P7" s="26"/>
      <c r="Q7" s="26"/>
      <c r="R7" s="26"/>
      <c r="S7" s="26"/>
      <c r="T7" s="26"/>
      <c r="U7" s="26"/>
      <c r="V7" s="26"/>
      <c r="W7" s="26"/>
      <c r="X7" s="26"/>
      <c r="Y7" s="26"/>
      <c r="Z7" s="26"/>
    </row>
    <row r="8" spans="1:26" s="28" customFormat="1" ht="15" customHeight="1" x14ac:dyDescent="0.2">
      <c r="A8" s="26"/>
      <c r="B8" s="2400" t="s">
        <v>1582</v>
      </c>
      <c r="C8" s="2401"/>
      <c r="D8" s="2402"/>
      <c r="E8" s="31"/>
      <c r="F8" s="26"/>
      <c r="G8" s="26" t="s">
        <v>44</v>
      </c>
      <c r="H8" s="26" t="s">
        <v>1583</v>
      </c>
      <c r="I8" s="26" t="s">
        <v>1584</v>
      </c>
      <c r="J8" s="26"/>
      <c r="K8" s="26"/>
      <c r="L8" s="26"/>
      <c r="M8" s="26"/>
      <c r="N8" s="26"/>
      <c r="O8" s="26"/>
      <c r="P8" s="26"/>
      <c r="Q8" s="26"/>
      <c r="R8" s="26"/>
      <c r="S8" s="26"/>
      <c r="T8" s="26"/>
      <c r="U8" s="26"/>
      <c r="V8" s="26"/>
      <c r="W8" s="26"/>
      <c r="X8" s="26"/>
      <c r="Y8" s="26"/>
      <c r="Z8" s="26"/>
    </row>
    <row r="9" spans="1:26" s="28" customFormat="1" ht="15" customHeight="1" x14ac:dyDescent="0.2">
      <c r="A9" s="26"/>
      <c r="B9" s="2400" t="s">
        <v>1585</v>
      </c>
      <c r="C9" s="2401"/>
      <c r="D9" s="2402"/>
      <c r="E9" s="30"/>
      <c r="F9" s="26"/>
      <c r="G9" s="26" t="s">
        <v>47</v>
      </c>
      <c r="H9" s="26" t="s">
        <v>1586</v>
      </c>
      <c r="I9" s="26"/>
      <c r="J9" s="26"/>
      <c r="K9" s="26"/>
      <c r="L9" s="26"/>
      <c r="M9" s="26"/>
      <c r="N9" s="26"/>
      <c r="O9" s="26"/>
      <c r="P9" s="26"/>
      <c r="Q9" s="26"/>
      <c r="R9" s="26"/>
      <c r="S9" s="26"/>
      <c r="T9" s="26"/>
      <c r="U9" s="26"/>
      <c r="V9" s="26"/>
      <c r="W9" s="26"/>
      <c r="X9" s="26"/>
      <c r="Y9" s="26"/>
      <c r="Z9" s="26"/>
    </row>
    <row r="10" spans="1:26" s="28" customFormat="1" ht="15" customHeight="1" x14ac:dyDescent="0.2">
      <c r="A10" s="26"/>
      <c r="B10" s="2400" t="s">
        <v>1587</v>
      </c>
      <c r="C10" s="2401"/>
      <c r="D10" s="2402"/>
      <c r="E10" s="30"/>
      <c r="F10" s="26"/>
      <c r="G10" s="26" t="s">
        <v>50</v>
      </c>
      <c r="H10" s="26" t="s">
        <v>1588</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400" t="s">
        <v>1589</v>
      </c>
      <c r="C11" s="2401"/>
      <c r="D11" s="2402"/>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400" t="s">
        <v>1590</v>
      </c>
      <c r="C12" s="2401"/>
      <c r="D12" s="2402"/>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11"/>
      <c r="C13" s="2412"/>
      <c r="D13" s="2413"/>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05" t="s">
        <v>1725</v>
      </c>
      <c r="C14" s="2406"/>
      <c r="D14" s="2406"/>
      <c r="E14" s="2407"/>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1591</v>
      </c>
      <c r="C15" s="2414" t="s">
        <v>1726</v>
      </c>
      <c r="D15" s="2414"/>
      <c r="E15" s="2415"/>
      <c r="F15" s="26"/>
      <c r="G15" s="26" t="s">
        <v>1616</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1592</v>
      </c>
      <c r="C16" s="35"/>
      <c r="D16" s="2416" t="s">
        <v>1593</v>
      </c>
      <c r="E16" s="2417"/>
      <c r="F16" s="26"/>
      <c r="G16" s="26" t="s">
        <v>1650</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1594</v>
      </c>
      <c r="C17" s="37"/>
      <c r="D17" s="2398" t="s">
        <v>1595</v>
      </c>
      <c r="E17" s="2399"/>
      <c r="F17" s="26"/>
      <c r="G17" s="26" t="s">
        <v>1652</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1596</v>
      </c>
      <c r="C18" s="37"/>
      <c r="D18" s="2398" t="s">
        <v>1597</v>
      </c>
      <c r="E18" s="2399"/>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18" t="s">
        <v>1598</v>
      </c>
      <c r="C19" s="2420"/>
      <c r="D19" s="2398" t="s">
        <v>1599</v>
      </c>
      <c r="E19" s="2399"/>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19"/>
      <c r="C20" s="2421"/>
      <c r="D20" s="2422"/>
      <c r="E20" s="2423"/>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1600</v>
      </c>
      <c r="C21" s="2414" t="s">
        <v>1727</v>
      </c>
      <c r="D21" s="2414"/>
      <c r="E21" s="2415"/>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1592</v>
      </c>
      <c r="C22" s="35"/>
      <c r="D22" s="2416" t="s">
        <v>1601</v>
      </c>
      <c r="E22" s="2417"/>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1594</v>
      </c>
      <c r="C23" s="37"/>
      <c r="D23" s="2398" t="s">
        <v>1603</v>
      </c>
      <c r="E23" s="2399"/>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1596</v>
      </c>
      <c r="C24" s="37"/>
      <c r="D24" s="2398" t="s">
        <v>1604</v>
      </c>
      <c r="E24" s="2399"/>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1598</v>
      </c>
      <c r="C25" s="37"/>
      <c r="D25" s="2398" t="s">
        <v>1605</v>
      </c>
      <c r="E25" s="2399"/>
      <c r="F25" s="26"/>
      <c r="G25" s="26" t="s">
        <v>1602</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1606</v>
      </c>
      <c r="C26" s="37"/>
      <c r="D26" s="2398" t="s">
        <v>1607</v>
      </c>
      <c r="E26" s="2399"/>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1608</v>
      </c>
      <c r="C27" s="39"/>
      <c r="D27" s="2424" t="s">
        <v>1599</v>
      </c>
      <c r="E27" s="2425"/>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1609</v>
      </c>
      <c r="C28" s="2414" t="s">
        <v>1610</v>
      </c>
      <c r="D28" s="2414"/>
      <c r="E28" s="2415"/>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1592</v>
      </c>
      <c r="C29" s="35"/>
      <c r="D29" s="2416" t="s">
        <v>1611</v>
      </c>
      <c r="E29" s="2417"/>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1594</v>
      </c>
      <c r="C30" s="37"/>
      <c r="D30" s="2398" t="s">
        <v>1612</v>
      </c>
      <c r="E30" s="2399"/>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1596</v>
      </c>
      <c r="C31" s="37"/>
      <c r="D31" s="2398" t="s">
        <v>1613</v>
      </c>
      <c r="E31" s="2399"/>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1598</v>
      </c>
      <c r="C32" s="39"/>
      <c r="D32" s="2424" t="s">
        <v>1614</v>
      </c>
      <c r="E32" s="2425"/>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1615</v>
      </c>
      <c r="C33" s="2414" t="s">
        <v>1728</v>
      </c>
      <c r="D33" s="2414"/>
      <c r="E33" s="2415"/>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1592</v>
      </c>
      <c r="C34" s="35"/>
      <c r="D34" s="2416" t="s">
        <v>1735</v>
      </c>
      <c r="E34" s="2417"/>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1594</v>
      </c>
      <c r="C35" s="37"/>
      <c r="D35" s="2398" t="s">
        <v>1617</v>
      </c>
      <c r="E35" s="2399"/>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1596</v>
      </c>
      <c r="C36" s="37"/>
      <c r="D36" s="2398" t="s">
        <v>1618</v>
      </c>
      <c r="E36" s="2399"/>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1598</v>
      </c>
      <c r="C37" s="39"/>
      <c r="D37" s="2435" t="s">
        <v>1736</v>
      </c>
      <c r="E37" s="2436"/>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1620</v>
      </c>
      <c r="C38" s="2414" t="s">
        <v>1729</v>
      </c>
      <c r="D38" s="2414"/>
      <c r="E38" s="2415"/>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1592</v>
      </c>
      <c r="C39" s="35"/>
      <c r="D39" s="2433" t="s">
        <v>1621</v>
      </c>
      <c r="E39" s="2434"/>
      <c r="F39" s="26"/>
      <c r="G39" s="26" t="s">
        <v>1619</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26" t="s">
        <v>1594</v>
      </c>
      <c r="C40" s="2420"/>
      <c r="D40" s="2429" t="s">
        <v>1622</v>
      </c>
      <c r="E40" s="2430"/>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27"/>
      <c r="C41" s="2428"/>
      <c r="D41" s="2431"/>
      <c r="E41" s="2432"/>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1596</v>
      </c>
      <c r="C42" s="42"/>
      <c r="D42" s="2429" t="s">
        <v>1623</v>
      </c>
      <c r="E42" s="2430"/>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1598</v>
      </c>
      <c r="C43" s="37"/>
      <c r="D43" s="2429" t="s">
        <v>1624</v>
      </c>
      <c r="E43" s="2430"/>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18" t="s">
        <v>1606</v>
      </c>
      <c r="C44" s="2437"/>
      <c r="D44" s="2439" t="s">
        <v>1599</v>
      </c>
      <c r="E44" s="2440"/>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19"/>
      <c r="C45" s="2438"/>
      <c r="D45" s="2422"/>
      <c r="E45" s="2423"/>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1626</v>
      </c>
      <c r="C46" s="2414" t="s">
        <v>1730</v>
      </c>
      <c r="D46" s="2414"/>
      <c r="E46" s="2415"/>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1592</v>
      </c>
      <c r="C47" s="35"/>
      <c r="D47" s="1557" t="s">
        <v>2137</v>
      </c>
      <c r="E47" s="1558"/>
      <c r="F47" s="26"/>
      <c r="G47" s="26" t="s">
        <v>1625</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59" t="s">
        <v>1594</v>
      </c>
      <c r="C48" s="1560"/>
      <c r="D48" s="2398" t="s">
        <v>1627</v>
      </c>
      <c r="E48" s="2399"/>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1596</v>
      </c>
      <c r="C49" s="42"/>
      <c r="D49" s="2398" t="s">
        <v>1629</v>
      </c>
      <c r="E49" s="2399"/>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1598</v>
      </c>
      <c r="C50" s="42"/>
      <c r="D50" s="2398" t="s">
        <v>1631</v>
      </c>
      <c r="E50" s="2399"/>
      <c r="F50" s="26"/>
      <c r="G50" s="26" t="s">
        <v>1628</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1606</v>
      </c>
      <c r="C51" s="37"/>
      <c r="D51" s="2398" t="s">
        <v>1632</v>
      </c>
      <c r="E51" s="2399"/>
      <c r="F51" s="26"/>
      <c r="G51" s="26" t="s">
        <v>1630</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1608</v>
      </c>
      <c r="C52" s="37"/>
      <c r="D52" s="2398" t="s">
        <v>1633</v>
      </c>
      <c r="E52" s="2399"/>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26" t="s">
        <v>2136</v>
      </c>
      <c r="C53" s="2420"/>
      <c r="D53" s="2398" t="s">
        <v>1599</v>
      </c>
      <c r="E53" s="2399"/>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43"/>
      <c r="C54" s="2421"/>
      <c r="D54" s="2444"/>
      <c r="E54" s="2445"/>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1634</v>
      </c>
      <c r="C55" s="2414" t="s">
        <v>1635</v>
      </c>
      <c r="D55" s="2414"/>
      <c r="E55" s="2415"/>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1592</v>
      </c>
      <c r="C56" s="35"/>
      <c r="D56" s="2416" t="s">
        <v>1636</v>
      </c>
      <c r="E56" s="2417"/>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18" t="s">
        <v>1594</v>
      </c>
      <c r="C57" s="2437"/>
      <c r="D57" s="2398" t="s">
        <v>1637</v>
      </c>
      <c r="E57" s="2399"/>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18"/>
      <c r="C58" s="2437"/>
      <c r="D58" s="2441"/>
      <c r="E58" s="2442"/>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1596</v>
      </c>
      <c r="C59" s="37"/>
      <c r="D59" s="2398" t="s">
        <v>1638</v>
      </c>
      <c r="E59" s="2399"/>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1598</v>
      </c>
      <c r="C60" s="39"/>
      <c r="D60" s="2424" t="s">
        <v>1639</v>
      </c>
      <c r="E60" s="2425"/>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1640</v>
      </c>
      <c r="C61" s="2414" t="s">
        <v>1731</v>
      </c>
      <c r="D61" s="2414"/>
      <c r="E61" s="2415"/>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1592</v>
      </c>
      <c r="C62" s="35"/>
      <c r="D62" s="2416" t="s">
        <v>1642</v>
      </c>
      <c r="E62" s="2417"/>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18" t="s">
        <v>1594</v>
      </c>
      <c r="C63" s="2437"/>
      <c r="D63" s="2398" t="s">
        <v>1644</v>
      </c>
      <c r="E63" s="2399"/>
      <c r="F63" s="26"/>
      <c r="G63" s="26" t="s">
        <v>1641</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18"/>
      <c r="C64" s="2437"/>
      <c r="D64" s="2441"/>
      <c r="E64" s="2442"/>
      <c r="F64" s="26"/>
      <c r="G64" s="26" t="s">
        <v>1643</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1596</v>
      </c>
      <c r="C65" s="37"/>
      <c r="D65" s="2398" t="s">
        <v>1646</v>
      </c>
      <c r="E65" s="2399"/>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1598</v>
      </c>
      <c r="C66" s="39"/>
      <c r="D66" s="2424" t="s">
        <v>1647</v>
      </c>
      <c r="E66" s="2425"/>
      <c r="F66" s="26"/>
      <c r="G66" s="26" t="s">
        <v>1645</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1648</v>
      </c>
      <c r="C67" s="2414" t="s">
        <v>1732</v>
      </c>
      <c r="D67" s="2414"/>
      <c r="E67" s="2415"/>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1592</v>
      </c>
      <c r="C68" s="35"/>
      <c r="D68" s="2416" t="s">
        <v>1649</v>
      </c>
      <c r="E68" s="2417"/>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1594</v>
      </c>
      <c r="C69" s="37"/>
      <c r="D69" s="2398" t="s">
        <v>1651</v>
      </c>
      <c r="E69" s="2399"/>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1596</v>
      </c>
      <c r="C70" s="39"/>
      <c r="D70" s="2446" t="s">
        <v>1647</v>
      </c>
      <c r="E70" s="2447"/>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1653</v>
      </c>
      <c r="C71" s="2414" t="s">
        <v>1733</v>
      </c>
      <c r="D71" s="2414"/>
      <c r="E71" s="2415"/>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1592</v>
      </c>
      <c r="C72" s="35"/>
      <c r="D72" s="2416" t="s">
        <v>1654</v>
      </c>
      <c r="E72" s="2417"/>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1594</v>
      </c>
      <c r="C73" s="37"/>
      <c r="D73" s="2398" t="s">
        <v>1655</v>
      </c>
      <c r="E73" s="2399"/>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1596</v>
      </c>
      <c r="C74" s="37"/>
      <c r="D74" s="2398" t="s">
        <v>1656</v>
      </c>
      <c r="E74" s="2399"/>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1598</v>
      </c>
      <c r="C75" s="39"/>
      <c r="D75" s="2446" t="s">
        <v>1647</v>
      </c>
      <c r="E75" s="2447"/>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1657</v>
      </c>
      <c r="C76" s="2414" t="s">
        <v>1734</v>
      </c>
      <c r="D76" s="2414"/>
      <c r="E76" s="2415"/>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448"/>
      <c r="C77" s="2449"/>
      <c r="D77" s="2449"/>
      <c r="E77" s="2450"/>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451" t="s">
        <v>1737</v>
      </c>
      <c r="C79" s="2451"/>
      <c r="D79" s="2451"/>
      <c r="E79" s="2451"/>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2" t="s">
        <v>2138</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6" t="s">
        <v>2131</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1658</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1659</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B77:E77"/>
    <mergeCell ref="B79:E79"/>
    <mergeCell ref="C71:E71"/>
    <mergeCell ref="D72:E72"/>
    <mergeCell ref="D73:E73"/>
    <mergeCell ref="D74:E74"/>
    <mergeCell ref="D75:E75"/>
    <mergeCell ref="C76:E76"/>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53:B54"/>
    <mergeCell ref="C53:C54"/>
    <mergeCell ref="D53:E53"/>
    <mergeCell ref="D54:E54"/>
    <mergeCell ref="C55:E55"/>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D35:E35"/>
    <mergeCell ref="D36:E36"/>
    <mergeCell ref="D37:E37"/>
    <mergeCell ref="D42:E42"/>
    <mergeCell ref="D29:E29"/>
    <mergeCell ref="D30:E30"/>
    <mergeCell ref="D31:E31"/>
    <mergeCell ref="B40:B41"/>
    <mergeCell ref="C40:C41"/>
    <mergeCell ref="D40:E40"/>
    <mergeCell ref="D41:E41"/>
    <mergeCell ref="C38:E38"/>
    <mergeCell ref="D39:E39"/>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55"/>
      <c r="B1" s="2455"/>
      <c r="C1" s="2455"/>
      <c r="D1" s="2455"/>
      <c r="E1" s="2455"/>
      <c r="F1" s="2455"/>
      <c r="G1" s="2455"/>
      <c r="H1" s="2455"/>
      <c r="I1" s="2455"/>
      <c r="J1" s="2455"/>
      <c r="K1" s="2455"/>
      <c r="L1" s="2455"/>
      <c r="M1" s="2455"/>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списке56</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1413</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1394</v>
      </c>
      <c r="G4" s="896" t="s">
        <v>1356</v>
      </c>
      <c r="H4" s="896" t="s">
        <v>1350</v>
      </c>
      <c r="I4" s="896" t="s">
        <v>841</v>
      </c>
      <c r="J4" s="896" t="s">
        <v>1395</v>
      </c>
      <c r="K4" s="897" t="s">
        <v>842</v>
      </c>
      <c r="L4" s="897" t="s">
        <v>855</v>
      </c>
      <c r="M4" s="897" t="s">
        <v>856</v>
      </c>
      <c r="N4" s="896" t="s">
        <v>1396</v>
      </c>
      <c r="O4" s="895" t="s">
        <v>843</v>
      </c>
      <c r="P4" s="896" t="s">
        <v>844</v>
      </c>
      <c r="Q4" s="896" t="s">
        <v>845</v>
      </c>
      <c r="R4" s="896" t="s">
        <v>846</v>
      </c>
      <c r="S4" s="896" t="s">
        <v>847</v>
      </c>
      <c r="T4" s="896" t="s">
        <v>848</v>
      </c>
      <c r="U4" s="896" t="s">
        <v>849</v>
      </c>
      <c r="V4" s="896" t="s">
        <v>850</v>
      </c>
      <c r="W4" s="895" t="s">
        <v>851</v>
      </c>
      <c r="X4" s="896" t="s">
        <v>1480</v>
      </c>
      <c r="Y4" s="894" t="s">
        <v>852</v>
      </c>
      <c r="Z4" s="896" t="s">
        <v>1351</v>
      </c>
      <c r="AA4" s="896" t="s">
        <v>1462</v>
      </c>
      <c r="AB4" s="896" t="s">
        <v>1481</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52" t="s">
        <v>1353</v>
      </c>
      <c r="C6" s="2453"/>
      <c r="D6" s="2453"/>
      <c r="E6" s="2453"/>
      <c r="F6" s="2454"/>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1375</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1375</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1375</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1375</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1547</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1548</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1548</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1380</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1549</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1549</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1384</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1764</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1765</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1430</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1376</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1376</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1376</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1377</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1378</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1378</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1378</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1378</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1378</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1378</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1379</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1379</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1379</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1379</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1381</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1381</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1381</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1382</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1383</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1383</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1383</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1429</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1429</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1429</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1429</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1352</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1352</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1354</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1375</v>
      </c>
      <c r="B55" s="946"/>
      <c r="C55" s="945" t="s">
        <v>1375</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1549</v>
      </c>
      <c r="B56" s="946"/>
      <c r="C56" s="951" t="s">
        <v>1549</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1384</v>
      </c>
      <c r="B57" s="946"/>
      <c r="C57" s="952" t="s">
        <v>1384</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1764</v>
      </c>
      <c r="B58" s="946"/>
      <c r="C58" s="953" t="s">
        <v>1764</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1765</v>
      </c>
      <c r="B59" s="946"/>
      <c r="C59" s="953" t="s">
        <v>1765</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1430</v>
      </c>
      <c r="B60" s="946"/>
      <c r="C60" s="953" t="s">
        <v>1430</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1376</v>
      </c>
      <c r="B61" s="946"/>
      <c r="C61" s="951" t="s">
        <v>1376</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1377</v>
      </c>
      <c r="B62" s="956"/>
      <c r="C62" s="955" t="s">
        <v>1377</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1378</v>
      </c>
      <c r="B63" s="946"/>
      <c r="C63" s="953" t="s">
        <v>1378</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1379</v>
      </c>
      <c r="B64" s="946"/>
      <c r="C64" s="953" t="s">
        <v>1379</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1547</v>
      </c>
      <c r="B66" s="946"/>
      <c r="C66" s="945" t="s">
        <v>1547</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1548</v>
      </c>
      <c r="B67" s="946"/>
      <c r="C67" s="945" t="s">
        <v>1548</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1380</v>
      </c>
      <c r="B68" s="946"/>
      <c r="C68" s="945" t="s">
        <v>1380</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1381</v>
      </c>
      <c r="B69" s="946"/>
      <c r="C69" s="962" t="s">
        <v>1381</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1382</v>
      </c>
      <c r="B70" s="946"/>
      <c r="C70" s="957" t="s">
        <v>1382</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1383</v>
      </c>
      <c r="B71" s="946"/>
      <c r="C71" s="963" t="s">
        <v>1383</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1429</v>
      </c>
      <c r="B72" s="946"/>
      <c r="C72" s="963" t="s">
        <v>1429</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1352</v>
      </c>
      <c r="B74" s="946"/>
      <c r="C74" s="953" t="s">
        <v>1352</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1482</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списке56</v>
      </c>
      <c r="D76" s="965">
        <f>'Ввод исходных данных'!D19</f>
        <v>5</v>
      </c>
      <c r="E76" s="965">
        <f>'Ввод исходных данных'!D17</f>
        <v>6</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13.65</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209</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56" t="s">
        <v>1998</v>
      </c>
      <c r="C77" s="2456"/>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0" t="s">
        <v>1999</v>
      </c>
      <c r="C78" s="1426">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0" t="s">
        <v>2000</v>
      </c>
      <c r="C79" s="1426">
        <f>0.8*C78-'Ввод исходных данных'!D23</f>
        <v>-188.7</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0" t="s">
        <v>2001</v>
      </c>
      <c r="C80" s="1426">
        <f>0.6*C79</f>
        <v>-113.21999999999998</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27" t="s">
        <v>2002</v>
      </c>
      <c r="C81" s="1426">
        <f>'Ввод исходных данных'!D23</f>
        <v>188.7</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0" t="s">
        <v>2003</v>
      </c>
      <c r="C82" s="1426">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0" t="s">
        <v>2004</v>
      </c>
      <c r="C83" s="1426"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0" t="s">
        <v>2005</v>
      </c>
      <c r="C84" s="1426"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28" t="s">
        <v>2006</v>
      </c>
      <c r="C85" s="1426">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29" t="s">
        <v>2007</v>
      </c>
      <c r="C86" s="1426"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28" t="s">
        <v>2008</v>
      </c>
      <c r="C87" s="1426">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0" t="s">
        <v>2009</v>
      </c>
      <c r="C88" s="1426">
        <f>C87*2</f>
        <v>0</v>
      </c>
    </row>
    <row r="89" spans="1:46" x14ac:dyDescent="0.25">
      <c r="B89" s="1428" t="s">
        <v>2010</v>
      </c>
      <c r="C89" s="1426">
        <f>'Ввод исходных данных'!D48</f>
        <v>0</v>
      </c>
    </row>
    <row r="90" spans="1:46" x14ac:dyDescent="0.25">
      <c r="B90" s="1430" t="s">
        <v>2011</v>
      </c>
      <c r="C90" s="1426" t="e">
        <f>IF(списки!D48=0,C81/(C78/'Ввод исходных данных'!D19)*(0.2*C82)/'Ввод исходных данных'!D19,2*C81/(C78/'Ввод исходных данных'!D19)*(0.2*C82)/'Ввод исходных данных'!D19)</f>
        <v>#DIV/0!</v>
      </c>
    </row>
    <row r="91" spans="1:46" x14ac:dyDescent="0.25">
      <c r="B91" s="1350" t="s">
        <v>2012</v>
      </c>
      <c r="C91" s="1426">
        <f>IF(списки!D31=0,'Серии планировка'!C78/'Ввод исходных данных'!D19,0)</f>
        <v>0</v>
      </c>
    </row>
    <row r="92" spans="1:46" x14ac:dyDescent="0.25">
      <c r="B92" s="1350" t="s">
        <v>2013</v>
      </c>
      <c r="C92" s="1426">
        <f>IF(AND(списки!D31=1,списки!D32=0),'Серии планировка'!C78/'Ввод исходных данных'!D19,0)</f>
        <v>0</v>
      </c>
    </row>
    <row r="93" spans="1:46" x14ac:dyDescent="0.25">
      <c r="B93" s="1350" t="s">
        <v>2014</v>
      </c>
      <c r="C93" s="1426">
        <f>IF(AND(списки!D31=1,списки!D32=1),'Серии планировка'!C78/'Ввод исходных данных'!D19,0)</f>
        <v>0</v>
      </c>
    </row>
    <row r="94" spans="1:46" x14ac:dyDescent="0.25">
      <c r="B94" s="1350" t="s">
        <v>2015</v>
      </c>
      <c r="C94" s="1426">
        <f>IF(AND(списки!D33=1,списки!D34=0),'Серии планировка'!C78/'Ввод исходных данных'!D19,0)</f>
        <v>0</v>
      </c>
    </row>
    <row r="95" spans="1:46" x14ac:dyDescent="0.25">
      <c r="B95" s="1350" t="s">
        <v>2016</v>
      </c>
      <c r="C95" s="1426">
        <f>IF(OR(списки!D33=0,списки!D34=1),'Серии планировка'!C78/'Ввод исходных данных'!D19,0)*1.5</f>
        <v>0</v>
      </c>
    </row>
    <row r="96" spans="1:46" x14ac:dyDescent="0.25">
      <c r="B96" s="1427" t="s">
        <v>1299</v>
      </c>
      <c r="C96" s="1426">
        <f>'Ввод исходных данных'!D17</f>
        <v>6</v>
      </c>
    </row>
    <row r="97" spans="2:3" x14ac:dyDescent="0.25">
      <c r="B97" s="1350" t="s">
        <v>2017</v>
      </c>
      <c r="C97" s="1426">
        <f>C96*2.5</f>
        <v>15</v>
      </c>
    </row>
    <row r="98" spans="2:3" x14ac:dyDescent="0.25">
      <c r="B98" s="1427" t="s">
        <v>2018</v>
      </c>
      <c r="C98" s="1426">
        <f>C101/C99</f>
        <v>0</v>
      </c>
    </row>
    <row r="99" spans="2:3" x14ac:dyDescent="0.25">
      <c r="B99" s="1427" t="s">
        <v>2019</v>
      </c>
      <c r="C99" s="1426">
        <f>IF(списки!D46=1,15,13)</f>
        <v>13</v>
      </c>
    </row>
    <row r="100" spans="2:3" x14ac:dyDescent="0.25">
      <c r="B100" s="1427" t="s">
        <v>2020</v>
      </c>
      <c r="C100" s="1426">
        <f>IF(списки!D46=1,3.5*'Ввод исходных данных'!D19,3*'Ввод исходных данных'!D19)</f>
        <v>15</v>
      </c>
    </row>
    <row r="101" spans="2:3" x14ac:dyDescent="0.25">
      <c r="B101" s="1427" t="s">
        <v>2021</v>
      </c>
      <c r="C101" s="1426">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57" t="s">
        <v>1155</v>
      </c>
      <c r="B3" s="2457"/>
      <c r="C3" s="2457"/>
      <c r="D3" s="2457"/>
      <c r="E3" s="2457"/>
      <c r="F3" s="265"/>
      <c r="G3" s="267" t="s">
        <v>1156</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58" t="s">
        <v>829</v>
      </c>
      <c r="B4" s="2460" t="s">
        <v>1157</v>
      </c>
      <c r="C4" s="2462" t="s">
        <v>1158</v>
      </c>
      <c r="D4" s="2464" t="s">
        <v>1159</v>
      </c>
      <c r="E4" s="2466" t="s">
        <v>1160</v>
      </c>
      <c r="F4" s="50"/>
      <c r="G4" s="2458" t="s">
        <v>829</v>
      </c>
      <c r="H4" s="2460" t="s">
        <v>1157</v>
      </c>
      <c r="I4" s="2468" t="s">
        <v>488</v>
      </c>
      <c r="J4" s="2469"/>
      <c r="K4" s="2470"/>
      <c r="L4" s="2468" t="s">
        <v>489</v>
      </c>
      <c r="M4" s="2469"/>
      <c r="N4" s="2470"/>
      <c r="O4" s="2468" t="s">
        <v>490</v>
      </c>
      <c r="P4" s="2469"/>
      <c r="Q4" s="2470"/>
      <c r="R4" s="2468" t="s">
        <v>491</v>
      </c>
      <c r="S4" s="2469"/>
      <c r="T4" s="2470"/>
      <c r="U4" s="2468" t="s">
        <v>800</v>
      </c>
      <c r="V4" s="2469"/>
      <c r="W4" s="2470"/>
      <c r="X4" s="2468" t="s">
        <v>801</v>
      </c>
      <c r="Y4" s="2469"/>
      <c r="Z4" s="2470"/>
      <c r="AA4" s="2468" t="s">
        <v>802</v>
      </c>
      <c r="AB4" s="2469"/>
      <c r="AC4" s="2470"/>
      <c r="AD4" s="2468" t="s">
        <v>803</v>
      </c>
      <c r="AE4" s="2469"/>
      <c r="AF4" s="2470"/>
      <c r="AG4" s="2468" t="s">
        <v>804</v>
      </c>
      <c r="AH4" s="2469"/>
      <c r="AI4" s="2470"/>
      <c r="AJ4" s="2468" t="s">
        <v>482</v>
      </c>
      <c r="AK4" s="2469"/>
      <c r="AL4" s="2470"/>
      <c r="AM4" s="2468" t="s">
        <v>486</v>
      </c>
      <c r="AN4" s="2469"/>
      <c r="AO4" s="2470"/>
      <c r="AP4" s="2471" t="s">
        <v>487</v>
      </c>
      <c r="AQ4" s="2472"/>
      <c r="AR4" s="2473"/>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59"/>
      <c r="B5" s="2461"/>
      <c r="C5" s="2463"/>
      <c r="D5" s="2465"/>
      <c r="E5" s="2467"/>
      <c r="F5" s="50"/>
      <c r="G5" s="2459"/>
      <c r="H5" s="2461"/>
      <c r="I5" s="480" t="s">
        <v>1158</v>
      </c>
      <c r="J5" s="481" t="s">
        <v>1159</v>
      </c>
      <c r="K5" s="482" t="s">
        <v>1162</v>
      </c>
      <c r="L5" s="480" t="s">
        <v>1158</v>
      </c>
      <c r="M5" s="481" t="s">
        <v>1159</v>
      </c>
      <c r="N5" s="482" t="s">
        <v>1162</v>
      </c>
      <c r="O5" s="480" t="s">
        <v>1158</v>
      </c>
      <c r="P5" s="481" t="s">
        <v>1159</v>
      </c>
      <c r="Q5" s="482" t="s">
        <v>1162</v>
      </c>
      <c r="R5" s="480" t="s">
        <v>1158</v>
      </c>
      <c r="S5" s="481" t="s">
        <v>1159</v>
      </c>
      <c r="T5" s="482" t="s">
        <v>1162</v>
      </c>
      <c r="U5" s="480" t="s">
        <v>1158</v>
      </c>
      <c r="V5" s="481" t="s">
        <v>1159</v>
      </c>
      <c r="W5" s="482" t="s">
        <v>1162</v>
      </c>
      <c r="X5" s="480" t="s">
        <v>1158</v>
      </c>
      <c r="Y5" s="481" t="s">
        <v>1159</v>
      </c>
      <c r="Z5" s="482" t="s">
        <v>1162</v>
      </c>
      <c r="AA5" s="480" t="s">
        <v>1158</v>
      </c>
      <c r="AB5" s="481" t="s">
        <v>1159</v>
      </c>
      <c r="AC5" s="482" t="s">
        <v>1162</v>
      </c>
      <c r="AD5" s="480" t="s">
        <v>1158</v>
      </c>
      <c r="AE5" s="481" t="s">
        <v>1159</v>
      </c>
      <c r="AF5" s="482" t="s">
        <v>1162</v>
      </c>
      <c r="AG5" s="480" t="s">
        <v>1158</v>
      </c>
      <c r="AH5" s="481" t="s">
        <v>1159</v>
      </c>
      <c r="AI5" s="482" t="s">
        <v>1162</v>
      </c>
      <c r="AJ5" s="480" t="s">
        <v>1158</v>
      </c>
      <c r="AK5" s="481" t="s">
        <v>1159</v>
      </c>
      <c r="AL5" s="482" t="s">
        <v>1162</v>
      </c>
      <c r="AM5" s="480" t="s">
        <v>1158</v>
      </c>
      <c r="AN5" s="481" t="s">
        <v>1159</v>
      </c>
      <c r="AO5" s="482" t="s">
        <v>1162</v>
      </c>
      <c r="AP5" s="483" t="s">
        <v>1158</v>
      </c>
      <c r="AQ5" s="287" t="s">
        <v>1159</v>
      </c>
      <c r="AR5" s="288" t="s">
        <v>1162</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1161</v>
      </c>
      <c r="B6" s="485" t="s">
        <v>837</v>
      </c>
      <c r="C6" s="486">
        <f ca="1">C12+C15+C18</f>
        <v>1347515.9688793055</v>
      </c>
      <c r="D6" s="487">
        <f ca="1">D12+D15+D18</f>
        <v>1579810.62</v>
      </c>
      <c r="E6" s="488">
        <f ca="1">E12+E15+E18</f>
        <v>1606509.3092159629</v>
      </c>
      <c r="F6" s="50"/>
      <c r="G6" s="489" t="s">
        <v>1161</v>
      </c>
      <c r="H6" s="490" t="s">
        <v>837</v>
      </c>
      <c r="I6" s="295">
        <f t="shared" ref="I6:AR6" ca="1" si="0">I12+I15+I18</f>
        <v>212310.51532653143</v>
      </c>
      <c r="J6" s="491">
        <f t="shared" ca="1" si="0"/>
        <v>218282.45</v>
      </c>
      <c r="K6" s="492">
        <f t="shared" ca="1" si="0"/>
        <v>232994.62365384615</v>
      </c>
      <c r="L6" s="295">
        <f t="shared" ca="1" si="0"/>
        <v>183735.95962012629</v>
      </c>
      <c r="M6" s="491">
        <f t="shared" ca="1" si="0"/>
        <v>194762.5</v>
      </c>
      <c r="N6" s="492">
        <f t="shared" ca="1" si="0"/>
        <v>196648.39746708461</v>
      </c>
      <c r="O6" s="493">
        <f t="shared" ca="1" si="0"/>
        <v>159964.64700871278</v>
      </c>
      <c r="P6" s="494">
        <f t="shared" ca="1" si="0"/>
        <v>193884.73</v>
      </c>
      <c r="Q6" s="495">
        <f t="shared" ca="1" si="0"/>
        <v>171249.88475432526</v>
      </c>
      <c r="R6" s="295">
        <f t="shared" ca="1" si="0"/>
        <v>111698.34372059205</v>
      </c>
      <c r="S6" s="491">
        <f t="shared" ca="1" si="0"/>
        <v>162830.25</v>
      </c>
      <c r="T6" s="492">
        <f t="shared" ca="1" si="0"/>
        <v>156808.47662068965</v>
      </c>
      <c r="U6" s="493">
        <f t="shared" ca="1" si="0"/>
        <v>35045.360432395064</v>
      </c>
      <c r="V6" s="494">
        <f t="shared" ca="1" si="0"/>
        <v>77265.959999999992</v>
      </c>
      <c r="W6" s="495">
        <f t="shared" ca="1" si="0"/>
        <v>57144.189508333329</v>
      </c>
      <c r="X6" s="295">
        <f t="shared" si="0"/>
        <v>31863.286890606418</v>
      </c>
      <c r="Y6" s="491">
        <f t="shared" ca="1" si="0"/>
        <v>34584.270000000004</v>
      </c>
      <c r="Z6" s="492">
        <f t="shared" ca="1" si="0"/>
        <v>40302.741000000002</v>
      </c>
      <c r="AA6" s="493">
        <f t="shared" si="0"/>
        <v>19197.772134363851</v>
      </c>
      <c r="AB6" s="494">
        <f t="shared" ca="1" si="0"/>
        <v>18710.199999999997</v>
      </c>
      <c r="AC6" s="495">
        <f t="shared" ca="1" si="0"/>
        <v>23281.952999999998</v>
      </c>
      <c r="AD6" s="295">
        <f t="shared" si="0"/>
        <v>32918.746453626634</v>
      </c>
      <c r="AE6" s="491">
        <f t="shared" ca="1" si="0"/>
        <v>30813.56</v>
      </c>
      <c r="AF6" s="492">
        <f t="shared" ca="1" si="0"/>
        <v>37804.353000000003</v>
      </c>
      <c r="AG6" s="295">
        <f t="shared" ca="1" si="0"/>
        <v>42991.396340883221</v>
      </c>
      <c r="AH6" s="491">
        <f t="shared" ca="1" si="0"/>
        <v>80654.669999999984</v>
      </c>
      <c r="AI6" s="492">
        <f t="shared" ca="1" si="0"/>
        <v>59670.394479166658</v>
      </c>
      <c r="AJ6" s="295">
        <f t="shared" ca="1" si="0"/>
        <v>122097.42311922691</v>
      </c>
      <c r="AK6" s="491">
        <f t="shared" ca="1" si="0"/>
        <v>181515.3</v>
      </c>
      <c r="AL6" s="492">
        <f t="shared" ca="1" si="0"/>
        <v>186181.86810526313</v>
      </c>
      <c r="AM6" s="295">
        <f t="shared" ca="1" si="0"/>
        <v>160738.91355849354</v>
      </c>
      <c r="AN6" s="491">
        <f t="shared" ca="1" si="0"/>
        <v>180809.85</v>
      </c>
      <c r="AO6" s="492">
        <f t="shared" ca="1" si="0"/>
        <v>207060.34888732395</v>
      </c>
      <c r="AP6" s="496">
        <f t="shared" ca="1" si="0"/>
        <v>197831.87089819863</v>
      </c>
      <c r="AQ6" s="497">
        <f t="shared" ca="1" si="0"/>
        <v>205696.88</v>
      </c>
      <c r="AR6" s="497">
        <f t="shared" ca="1" si="0"/>
        <v>228159.35487226277</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1163</v>
      </c>
      <c r="C7" s="498">
        <f ca="1">C6*0.123/1000</f>
        <v>165.74446417215458</v>
      </c>
      <c r="D7" s="499">
        <f ca="1">D6*0.123/1000</f>
        <v>194.31670626000002</v>
      </c>
      <c r="E7" s="500">
        <f ca="1">E6*0.123/1000</f>
        <v>197.60064503356344</v>
      </c>
      <c r="F7" s="50"/>
      <c r="G7" s="501" t="s">
        <v>868</v>
      </c>
      <c r="H7" s="502" t="s">
        <v>1163</v>
      </c>
      <c r="I7" s="498">
        <f t="shared" ref="I7:AR7" ca="1" si="1">I6*0.123/1000</f>
        <v>26.114193385163365</v>
      </c>
      <c r="J7" s="499">
        <f t="shared" ca="1" si="1"/>
        <v>26.848741350000001</v>
      </c>
      <c r="K7" s="500">
        <f t="shared" ca="1" si="1"/>
        <v>28.658338709423074</v>
      </c>
      <c r="L7" s="498">
        <f t="shared" ca="1" si="1"/>
        <v>22.599523033275535</v>
      </c>
      <c r="M7" s="499">
        <f t="shared" ca="1" si="1"/>
        <v>23.9557875</v>
      </c>
      <c r="N7" s="500">
        <f t="shared" ca="1" si="1"/>
        <v>24.187752888451406</v>
      </c>
      <c r="O7" s="498">
        <f t="shared" ca="1" si="1"/>
        <v>19.675651582071669</v>
      </c>
      <c r="P7" s="499">
        <f t="shared" ca="1" si="1"/>
        <v>23.847821790000001</v>
      </c>
      <c r="Q7" s="500">
        <f t="shared" ca="1" si="1"/>
        <v>21.063735824782007</v>
      </c>
      <c r="R7" s="498">
        <f t="shared" ca="1" si="1"/>
        <v>13.738896277632822</v>
      </c>
      <c r="S7" s="499">
        <f t="shared" ca="1" si="1"/>
        <v>20.028120749999999</v>
      </c>
      <c r="T7" s="500">
        <f t="shared" ca="1" si="1"/>
        <v>19.287442624344827</v>
      </c>
      <c r="U7" s="498">
        <f t="shared" ca="1" si="1"/>
        <v>4.3105793331845925</v>
      </c>
      <c r="V7" s="499">
        <f t="shared" ca="1" si="1"/>
        <v>9.5037130799999989</v>
      </c>
      <c r="W7" s="500">
        <f t="shared" ca="1" si="1"/>
        <v>7.0287353095249987</v>
      </c>
      <c r="X7" s="498">
        <f t="shared" si="1"/>
        <v>3.919184287544589</v>
      </c>
      <c r="Y7" s="499">
        <f t="shared" ca="1" si="1"/>
        <v>4.2538652100000007</v>
      </c>
      <c r="Z7" s="500">
        <f t="shared" ca="1" si="1"/>
        <v>4.9572371430000004</v>
      </c>
      <c r="AA7" s="498">
        <f t="shared" si="1"/>
        <v>2.3613259725267537</v>
      </c>
      <c r="AB7" s="499">
        <f t="shared" ca="1" si="1"/>
        <v>2.3013545999999998</v>
      </c>
      <c r="AC7" s="503">
        <f t="shared" ca="1" si="1"/>
        <v>2.8636802189999999</v>
      </c>
      <c r="AD7" s="498">
        <f t="shared" si="1"/>
        <v>4.049005813796076</v>
      </c>
      <c r="AE7" s="499">
        <f t="shared" ca="1" si="1"/>
        <v>3.7900678800000001</v>
      </c>
      <c r="AF7" s="500">
        <f t="shared" ca="1" si="1"/>
        <v>4.6499354190000002</v>
      </c>
      <c r="AG7" s="498">
        <f t="shared" ca="1" si="1"/>
        <v>5.2879417499286365</v>
      </c>
      <c r="AH7" s="499">
        <f t="shared" ca="1" si="1"/>
        <v>9.9205244099999987</v>
      </c>
      <c r="AI7" s="500">
        <f t="shared" ca="1" si="1"/>
        <v>7.339458520937499</v>
      </c>
      <c r="AJ7" s="498">
        <f t="shared" ca="1" si="1"/>
        <v>15.017983043664909</v>
      </c>
      <c r="AK7" s="499">
        <f t="shared" ca="1" si="1"/>
        <v>22.326381899999998</v>
      </c>
      <c r="AL7" s="500">
        <f t="shared" ca="1" si="1"/>
        <v>22.900369776947365</v>
      </c>
      <c r="AM7" s="498">
        <f t="shared" ca="1" si="1"/>
        <v>19.770886367694704</v>
      </c>
      <c r="AN7" s="499">
        <f t="shared" ca="1" si="1"/>
        <v>22.239611550000003</v>
      </c>
      <c r="AO7" s="500">
        <f t="shared" ca="1" si="1"/>
        <v>25.468422913140845</v>
      </c>
      <c r="AP7" s="504">
        <f t="shared" ca="1" si="1"/>
        <v>24.33332012047843</v>
      </c>
      <c r="AQ7" s="499">
        <f t="shared" ca="1" si="1"/>
        <v>25.30071624</v>
      </c>
      <c r="AR7" s="500">
        <f t="shared" ca="1" si="1"/>
        <v>28.063600649288322</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1164</v>
      </c>
      <c r="C8" s="505">
        <f ca="1">C14+C17+C19</f>
        <v>1</v>
      </c>
      <c r="D8" s="505">
        <f ca="1">D14+D17+D19</f>
        <v>0.99999999999999989</v>
      </c>
      <c r="E8" s="505"/>
      <c r="F8" s="50"/>
      <c r="G8" s="506" t="s">
        <v>868</v>
      </c>
      <c r="H8" s="507" t="s">
        <v>1164</v>
      </c>
      <c r="I8" s="508">
        <f t="shared" ref="I8:AR8" ca="1" si="2">I6/I$6</f>
        <v>1</v>
      </c>
      <c r="J8" s="509">
        <f t="shared" ca="1" si="2"/>
        <v>1</v>
      </c>
      <c r="K8" s="510">
        <f t="shared" ca="1" si="2"/>
        <v>1</v>
      </c>
      <c r="L8" s="508">
        <f t="shared" ca="1" si="2"/>
        <v>1</v>
      </c>
      <c r="M8" s="509">
        <f t="shared" ca="1" si="2"/>
        <v>1</v>
      </c>
      <c r="N8" s="510">
        <f t="shared" ca="1" si="2"/>
        <v>1</v>
      </c>
      <c r="O8" s="511">
        <f t="shared" ca="1" si="2"/>
        <v>1</v>
      </c>
      <c r="P8" s="512">
        <f t="shared" ca="1" si="2"/>
        <v>1</v>
      </c>
      <c r="Q8" s="513">
        <f t="shared" ca="1" si="2"/>
        <v>1</v>
      </c>
      <c r="R8" s="508">
        <f t="shared" ca="1" si="2"/>
        <v>1</v>
      </c>
      <c r="S8" s="509">
        <f t="shared" ca="1" si="2"/>
        <v>1</v>
      </c>
      <c r="T8" s="510">
        <f t="shared" ca="1" si="2"/>
        <v>1</v>
      </c>
      <c r="U8" s="511">
        <f t="shared" ca="1" si="2"/>
        <v>1</v>
      </c>
      <c r="V8" s="512">
        <f t="shared" ca="1" si="2"/>
        <v>1</v>
      </c>
      <c r="W8" s="513">
        <f t="shared" ca="1" si="2"/>
        <v>1</v>
      </c>
      <c r="X8" s="508">
        <f t="shared" si="2"/>
        <v>1</v>
      </c>
      <c r="Y8" s="509">
        <f t="shared" ca="1" si="2"/>
        <v>1</v>
      </c>
      <c r="Z8" s="510">
        <f t="shared" ca="1" si="2"/>
        <v>1</v>
      </c>
      <c r="AA8" s="511">
        <f t="shared" si="2"/>
        <v>1</v>
      </c>
      <c r="AB8" s="512">
        <f t="shared" ca="1" si="2"/>
        <v>1</v>
      </c>
      <c r="AC8" s="513">
        <f t="shared" ca="1" si="2"/>
        <v>1</v>
      </c>
      <c r="AD8" s="508">
        <f t="shared" si="2"/>
        <v>1</v>
      </c>
      <c r="AE8" s="509">
        <f t="shared" ca="1" si="2"/>
        <v>1</v>
      </c>
      <c r="AF8" s="510">
        <f t="shared" ca="1" si="2"/>
        <v>1</v>
      </c>
      <c r="AG8" s="508">
        <f t="shared" ca="1" si="2"/>
        <v>1</v>
      </c>
      <c r="AH8" s="509">
        <f t="shared" ca="1" si="2"/>
        <v>1</v>
      </c>
      <c r="AI8" s="510">
        <f t="shared" ca="1" si="2"/>
        <v>1</v>
      </c>
      <c r="AJ8" s="508">
        <f t="shared" ca="1" si="2"/>
        <v>1</v>
      </c>
      <c r="AK8" s="509">
        <f t="shared" ca="1" si="2"/>
        <v>1</v>
      </c>
      <c r="AL8" s="510">
        <f t="shared" ca="1" si="2"/>
        <v>1</v>
      </c>
      <c r="AM8" s="508">
        <f t="shared" ca="1" si="2"/>
        <v>1</v>
      </c>
      <c r="AN8" s="509">
        <f t="shared" ca="1" si="2"/>
        <v>1</v>
      </c>
      <c r="AO8" s="510">
        <f t="shared" ca="1" si="2"/>
        <v>1</v>
      </c>
      <c r="AP8" s="514">
        <f t="shared" ca="1" si="2"/>
        <v>1</v>
      </c>
      <c r="AQ8" s="515">
        <f t="shared" ca="1"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1308</v>
      </c>
      <c r="B9" s="485" t="s">
        <v>837</v>
      </c>
      <c r="C9" s="517">
        <f>C12+C15</f>
        <v>1345121.9688793055</v>
      </c>
      <c r="D9" s="487">
        <f ca="1">D12+D15</f>
        <v>1556954.62</v>
      </c>
      <c r="E9" s="518">
        <f ca="1">E12+E15</f>
        <v>1583653.3092159629</v>
      </c>
      <c r="F9" s="418"/>
      <c r="G9" s="519" t="s">
        <v>1166</v>
      </c>
      <c r="H9" s="490" t="s">
        <v>837</v>
      </c>
      <c r="I9" s="295">
        <f t="shared" ref="I9:AR9" ca="1" si="3">I12+I15</f>
        <v>212111.01532653143</v>
      </c>
      <c r="J9" s="491">
        <f t="shared" ca="1" si="3"/>
        <v>215329.45</v>
      </c>
      <c r="K9" s="492">
        <f t="shared" ca="1" si="3"/>
        <v>230041.62365384615</v>
      </c>
      <c r="L9" s="295">
        <f t="shared" ca="1" si="3"/>
        <v>183536.45962012629</v>
      </c>
      <c r="M9" s="491">
        <f t="shared" ca="1" si="3"/>
        <v>191313.5</v>
      </c>
      <c r="N9" s="492">
        <f t="shared" ca="1" si="3"/>
        <v>193199.39746708461</v>
      </c>
      <c r="O9" s="295">
        <f t="shared" ca="1" si="3"/>
        <v>159765.14700871278</v>
      </c>
      <c r="P9" s="491">
        <f t="shared" ca="1" si="3"/>
        <v>193883.73</v>
      </c>
      <c r="Q9" s="492">
        <f t="shared" ca="1" si="3"/>
        <v>171248.88475432526</v>
      </c>
      <c r="R9" s="295">
        <f t="shared" ca="1" si="3"/>
        <v>111498.84372059205</v>
      </c>
      <c r="S9" s="491">
        <f t="shared" ca="1" si="3"/>
        <v>159040.25</v>
      </c>
      <c r="T9" s="492">
        <f t="shared" ca="1" si="3"/>
        <v>153018.47662068965</v>
      </c>
      <c r="U9" s="295">
        <f t="shared" ca="1" si="3"/>
        <v>34845.860432395064</v>
      </c>
      <c r="V9" s="491">
        <f t="shared" ca="1" si="3"/>
        <v>76664.959999999992</v>
      </c>
      <c r="W9" s="492">
        <f t="shared" ca="1" si="3"/>
        <v>56543.189508333329</v>
      </c>
      <c r="X9" s="295">
        <f t="shared" si="3"/>
        <v>31663.786890606418</v>
      </c>
      <c r="Y9" s="491">
        <f t="shared" ca="1" si="3"/>
        <v>32901.270000000004</v>
      </c>
      <c r="Z9" s="492">
        <f t="shared" ca="1" si="3"/>
        <v>38619.741000000002</v>
      </c>
      <c r="AA9" s="295">
        <f t="shared" si="3"/>
        <v>18998.272134363851</v>
      </c>
      <c r="AB9" s="491">
        <f t="shared" ca="1" si="3"/>
        <v>16747.199999999997</v>
      </c>
      <c r="AC9" s="492">
        <f t="shared" ca="1" si="3"/>
        <v>21318.952999999998</v>
      </c>
      <c r="AD9" s="295">
        <f t="shared" si="3"/>
        <v>32719.246453626631</v>
      </c>
      <c r="AE9" s="491">
        <f t="shared" ca="1" si="3"/>
        <v>29214.560000000001</v>
      </c>
      <c r="AF9" s="492">
        <f t="shared" ca="1" si="3"/>
        <v>36205.353000000003</v>
      </c>
      <c r="AG9" s="295">
        <f t="shared" ca="1" si="3"/>
        <v>42791.896340883221</v>
      </c>
      <c r="AH9" s="491">
        <f t="shared" ca="1" si="3"/>
        <v>79188.669999999984</v>
      </c>
      <c r="AI9" s="492">
        <f t="shared" ca="1" si="3"/>
        <v>58204.394479166658</v>
      </c>
      <c r="AJ9" s="295">
        <f t="shared" ca="1" si="3"/>
        <v>121897.92311922691</v>
      </c>
      <c r="AK9" s="491">
        <f t="shared" ca="1" si="3"/>
        <v>179218.3</v>
      </c>
      <c r="AL9" s="492">
        <f t="shared" ca="1" si="3"/>
        <v>183884.86810526313</v>
      </c>
      <c r="AM9" s="295">
        <f t="shared" ca="1" si="3"/>
        <v>160539.41355849354</v>
      </c>
      <c r="AN9" s="491">
        <f t="shared" ca="1" si="3"/>
        <v>177880.85</v>
      </c>
      <c r="AO9" s="492">
        <f t="shared" ca="1" si="3"/>
        <v>204131.34888732395</v>
      </c>
      <c r="AP9" s="496">
        <f t="shared" ca="1" si="3"/>
        <v>197632.37089819863</v>
      </c>
      <c r="AQ9" s="497">
        <f t="shared" ca="1" si="3"/>
        <v>205571.88</v>
      </c>
      <c r="AR9" s="497">
        <f t="shared" ca="1" si="3"/>
        <v>228034.35487226277</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1167</v>
      </c>
      <c r="C10" s="520">
        <f>C9*0.86/1000</f>
        <v>1156.8048932362026</v>
      </c>
      <c r="D10" s="521">
        <f ca="1">D9*0.86/1000</f>
        <v>1338.9809732000001</v>
      </c>
      <c r="E10" s="522">
        <f ca="1">E9*0.86/1000</f>
        <v>1361.9418459257281</v>
      </c>
      <c r="F10" s="50">
        <f>C10/'Ввод исходных данных'!$G$56</f>
        <v>0.2671543135807955</v>
      </c>
      <c r="G10" s="501" t="s">
        <v>868</v>
      </c>
      <c r="H10" s="502" t="s">
        <v>1167</v>
      </c>
      <c r="I10" s="523">
        <f t="shared" ref="I10:AR10" ca="1" si="4">I9*0.86/1000</f>
        <v>182.41547318081703</v>
      </c>
      <c r="J10" s="261">
        <f t="shared" ca="1" si="4"/>
        <v>185.18332700000002</v>
      </c>
      <c r="K10" s="524">
        <f t="shared" ca="1" si="4"/>
        <v>197.8357963423077</v>
      </c>
      <c r="L10" s="523">
        <f t="shared" ca="1" si="4"/>
        <v>157.84135527330861</v>
      </c>
      <c r="M10" s="261">
        <f t="shared" ca="1" si="4"/>
        <v>164.52960999999999</v>
      </c>
      <c r="N10" s="524">
        <f t="shared" ca="1" si="4"/>
        <v>166.15148182169276</v>
      </c>
      <c r="O10" s="523">
        <f t="shared" ca="1" si="4"/>
        <v>137.39802642749299</v>
      </c>
      <c r="P10" s="261">
        <f t="shared" ca="1" si="4"/>
        <v>166.7400078</v>
      </c>
      <c r="Q10" s="524">
        <f t="shared" ca="1" si="4"/>
        <v>147.27404088871972</v>
      </c>
      <c r="R10" s="523">
        <f t="shared" ca="1" si="4"/>
        <v>95.889005599709151</v>
      </c>
      <c r="S10" s="261">
        <f t="shared" ca="1" si="4"/>
        <v>136.77461499999998</v>
      </c>
      <c r="T10" s="524">
        <f t="shared" ca="1" si="4"/>
        <v>131.5958898937931</v>
      </c>
      <c r="U10" s="523">
        <f t="shared" ca="1" si="4"/>
        <v>29.967439971859758</v>
      </c>
      <c r="V10" s="261">
        <f t="shared" ca="1" si="4"/>
        <v>65.931865599999995</v>
      </c>
      <c r="W10" s="524">
        <f t="shared" ca="1" si="4"/>
        <v>48.627142977166656</v>
      </c>
      <c r="X10" s="523">
        <f t="shared" si="4"/>
        <v>27.23085672592152</v>
      </c>
      <c r="Y10" s="261">
        <f t="shared" ca="1" si="4"/>
        <v>28.295092200000003</v>
      </c>
      <c r="Z10" s="524">
        <f t="shared" ca="1" si="4"/>
        <v>33.212977260000002</v>
      </c>
      <c r="AA10" s="523">
        <f t="shared" si="4"/>
        <v>16.338514035552912</v>
      </c>
      <c r="AB10" s="261">
        <f t="shared" ca="1" si="4"/>
        <v>14.402591999999997</v>
      </c>
      <c r="AC10" s="524">
        <f t="shared" ca="1" si="4"/>
        <v>18.33429958</v>
      </c>
      <c r="AD10" s="523">
        <f t="shared" si="4"/>
        <v>28.138551950118902</v>
      </c>
      <c r="AE10" s="261">
        <f t="shared" ca="1" si="4"/>
        <v>25.124521600000001</v>
      </c>
      <c r="AF10" s="524">
        <f t="shared" ca="1" si="4"/>
        <v>31.136603580000003</v>
      </c>
      <c r="AG10" s="523">
        <f t="shared" ca="1" si="4"/>
        <v>36.801030853159567</v>
      </c>
      <c r="AH10" s="261">
        <f t="shared" ca="1" si="4"/>
        <v>68.102256199999985</v>
      </c>
      <c r="AI10" s="524">
        <f t="shared" ca="1" si="4"/>
        <v>50.055779252083326</v>
      </c>
      <c r="AJ10" s="523">
        <f t="shared" ca="1" si="4"/>
        <v>104.83221388253514</v>
      </c>
      <c r="AK10" s="261">
        <f t="shared" ca="1" si="4"/>
        <v>154.12773799999999</v>
      </c>
      <c r="AL10" s="524">
        <f t="shared" ca="1" si="4"/>
        <v>158.14098657052628</v>
      </c>
      <c r="AM10" s="523">
        <f t="shared" ca="1" si="4"/>
        <v>138.06389566030444</v>
      </c>
      <c r="AN10" s="261">
        <f t="shared" ca="1" si="4"/>
        <v>152.977531</v>
      </c>
      <c r="AO10" s="524">
        <f t="shared" ca="1" si="4"/>
        <v>175.55296004309861</v>
      </c>
      <c r="AP10" s="525">
        <f t="shared" ca="1" si="4"/>
        <v>169.96383897245082</v>
      </c>
      <c r="AQ10" s="261">
        <f t="shared" ca="1" si="4"/>
        <v>176.79181679999999</v>
      </c>
      <c r="AR10" s="261">
        <f t="shared" ca="1" si="4"/>
        <v>196.10954519014598</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1164</v>
      </c>
      <c r="C11" s="526">
        <f ca="1">C9/$C$6</f>
        <v>0.99822339767743828</v>
      </c>
      <c r="D11" s="527">
        <f ca="1">D9/$D$6</f>
        <v>0.98553244312283461</v>
      </c>
      <c r="E11" s="528"/>
      <c r="F11" s="50">
        <f ca="1">E10/'Ввод исходных данных'!$G$56</f>
        <v>0.31452895912928752</v>
      </c>
      <c r="G11" s="501"/>
      <c r="H11" s="502"/>
      <c r="I11" s="529">
        <f t="shared" ref="I11:AR11" ca="1" si="5">I9/I$6</f>
        <v>0.9990603385814727</v>
      </c>
      <c r="J11" s="515">
        <f t="shared" ca="1" si="5"/>
        <v>0.98647165633334244</v>
      </c>
      <c r="K11" s="530">
        <f t="shared" ca="1" si="5"/>
        <v>0.98732588780938058</v>
      </c>
      <c r="L11" s="529">
        <f t="shared" ca="1" si="5"/>
        <v>0.99891420274826737</v>
      </c>
      <c r="M11" s="515">
        <f t="shared" ca="1" si="5"/>
        <v>0.98229125216609969</v>
      </c>
      <c r="N11" s="530">
        <f t="shared" ca="1" si="5"/>
        <v>0.98246108260008935</v>
      </c>
      <c r="O11" s="529">
        <f t="shared" ca="1" si="5"/>
        <v>0.99875284943435572</v>
      </c>
      <c r="P11" s="515">
        <f t="shared" ca="1" si="5"/>
        <v>0.9999948422962448</v>
      </c>
      <c r="Q11" s="530">
        <f t="shared" ca="1" si="5"/>
        <v>0.99999416058001189</v>
      </c>
      <c r="R11" s="529">
        <f t="shared" ca="1" si="5"/>
        <v>0.99821393949673021</v>
      </c>
      <c r="S11" s="515">
        <f t="shared" ca="1" si="5"/>
        <v>0.97672422661022751</v>
      </c>
      <c r="T11" s="530">
        <f t="shared" ca="1" si="5"/>
        <v>0.97583038824382062</v>
      </c>
      <c r="U11" s="529">
        <f t="shared" ca="1" si="5"/>
        <v>0.99430737770881683</v>
      </c>
      <c r="V11" s="515">
        <f t="shared" ca="1" si="5"/>
        <v>0.99222167174264064</v>
      </c>
      <c r="W11" s="530">
        <f t="shared" ca="1" si="5"/>
        <v>0.98948274522447544</v>
      </c>
      <c r="X11" s="529">
        <f t="shared" si="5"/>
        <v>0.99373887569462227</v>
      </c>
      <c r="Y11" s="515">
        <f t="shared" ca="1" si="5"/>
        <v>0.95133625778424702</v>
      </c>
      <c r="Z11" s="530">
        <f t="shared" ca="1" si="5"/>
        <v>0.95824105362957823</v>
      </c>
      <c r="AA11" s="529">
        <f t="shared" si="5"/>
        <v>0.98960816918735606</v>
      </c>
      <c r="AB11" s="515">
        <f t="shared" ca="1" si="5"/>
        <v>0.89508396489615294</v>
      </c>
      <c r="AC11" s="530">
        <f t="shared" ca="1" si="5"/>
        <v>0.9156857674268134</v>
      </c>
      <c r="AD11" s="529">
        <f t="shared" si="5"/>
        <v>0.99393962342153452</v>
      </c>
      <c r="AE11" s="515">
        <f t="shared" ca="1" si="5"/>
        <v>0.94810726186782701</v>
      </c>
      <c r="AF11" s="530">
        <f t="shared" ca="1" si="5"/>
        <v>0.95770328353457079</v>
      </c>
      <c r="AG11" s="529">
        <f t="shared" ca="1" si="5"/>
        <v>0.99535953662872112</v>
      </c>
      <c r="AH11" s="515">
        <f t="shared" ca="1" si="5"/>
        <v>0.98182374312609544</v>
      </c>
      <c r="AI11" s="530">
        <f t="shared" ca="1" si="5"/>
        <v>0.97543170255876488</v>
      </c>
      <c r="AJ11" s="529">
        <f t="shared" ca="1" si="5"/>
        <v>0.99836605888229768</v>
      </c>
      <c r="AK11" s="515">
        <f t="shared" ca="1" si="5"/>
        <v>0.98734541936685227</v>
      </c>
      <c r="AL11" s="530">
        <f t="shared" ca="1" si="5"/>
        <v>0.98766260096444336</v>
      </c>
      <c r="AM11" s="529">
        <f t="shared" ca="1" si="5"/>
        <v>0.99875885685934163</v>
      </c>
      <c r="AN11" s="515">
        <f t="shared" ca="1" si="5"/>
        <v>0.98380066130246779</v>
      </c>
      <c r="AO11" s="530">
        <f t="shared" ca="1" si="5"/>
        <v>0.98585436557148909</v>
      </c>
      <c r="AP11" s="514">
        <f t="shared" ca="1" si="5"/>
        <v>0.99899156794557809</v>
      </c>
      <c r="AQ11" s="515">
        <f t="shared" ca="1" si="5"/>
        <v>0.99939230969375914</v>
      </c>
      <c r="AR11" s="515">
        <f t="shared" ca="1" si="5"/>
        <v>0.99945213730083526</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1168</v>
      </c>
      <c r="B12" s="532" t="s">
        <v>837</v>
      </c>
      <c r="C12" s="533">
        <f>C35</f>
        <v>877502.26333721587</v>
      </c>
      <c r="D12" s="534">
        <f ca="1">D35</f>
        <v>1062027.1770000001</v>
      </c>
      <c r="E12" s="535">
        <f ca="1">E35</f>
        <v>1088725.8662159629</v>
      </c>
      <c r="F12" s="50"/>
      <c r="G12" s="536" t="s">
        <v>1168</v>
      </c>
      <c r="H12" s="537" t="s">
        <v>837</v>
      </c>
      <c r="I12" s="538">
        <f t="shared" ref="I12:AR12" ca="1" si="6">I35</f>
        <v>167677.47075987799</v>
      </c>
      <c r="J12" s="273">
        <f t="shared" ca="1" si="6"/>
        <v>170007.34</v>
      </c>
      <c r="K12" s="539">
        <f t="shared" ca="1" si="6"/>
        <v>184719.51365384614</v>
      </c>
      <c r="L12" s="540">
        <f t="shared" ca="1" si="6"/>
        <v>143402.93549540706</v>
      </c>
      <c r="M12" s="273">
        <f t="shared" ca="1" si="6"/>
        <v>150400.323</v>
      </c>
      <c r="N12" s="539">
        <f t="shared" ca="1" si="6"/>
        <v>152286.22046708461</v>
      </c>
      <c r="O12" s="540">
        <f t="shared" ca="1" si="6"/>
        <v>115331.60244205933</v>
      </c>
      <c r="P12" s="273">
        <f t="shared" ca="1" si="6"/>
        <v>148669.77900000001</v>
      </c>
      <c r="Q12" s="539">
        <f t="shared" ca="1" si="6"/>
        <v>126034.93375432525</v>
      </c>
      <c r="R12" s="540">
        <f t="shared" ca="1" si="6"/>
        <v>68498.639301250005</v>
      </c>
      <c r="S12" s="273">
        <f t="shared" ca="1" si="6"/>
        <v>116420.952</v>
      </c>
      <c r="T12" s="539">
        <f t="shared" ca="1" si="6"/>
        <v>110399.17862068965</v>
      </c>
      <c r="U12" s="538">
        <f t="shared" ca="1" si="6"/>
        <v>2126.6139787684351</v>
      </c>
      <c r="V12" s="273">
        <f t="shared" ca="1" si="6"/>
        <v>33076.883000000002</v>
      </c>
      <c r="W12" s="539">
        <f t="shared" ca="1" si="6"/>
        <v>12955.112508333334</v>
      </c>
      <c r="X12" s="538">
        <f t="shared" si="6"/>
        <v>0</v>
      </c>
      <c r="Y12" s="273">
        <f t="shared" ca="1" si="6"/>
        <v>-5718.4709999999995</v>
      </c>
      <c r="Z12" s="539">
        <f t="shared" ca="1" si="6"/>
        <v>0</v>
      </c>
      <c r="AA12" s="540">
        <f t="shared" si="6"/>
        <v>0</v>
      </c>
      <c r="AB12" s="273">
        <f t="shared" ca="1" si="6"/>
        <v>-4571.7529999999997</v>
      </c>
      <c r="AC12" s="539">
        <f t="shared" ca="1" si="6"/>
        <v>0</v>
      </c>
      <c r="AD12" s="538">
        <f t="shared" si="6"/>
        <v>0</v>
      </c>
      <c r="AE12" s="273">
        <f t="shared" ca="1" si="6"/>
        <v>-6990.7930000000006</v>
      </c>
      <c r="AF12" s="539">
        <f t="shared" ca="1" si="6"/>
        <v>0</v>
      </c>
      <c r="AG12" s="540">
        <f t="shared" ca="1" si="6"/>
        <v>4091.7123634753771</v>
      </c>
      <c r="AH12" s="273">
        <f t="shared" ca="1" si="6"/>
        <v>39890.899999999994</v>
      </c>
      <c r="AI12" s="539">
        <f t="shared" ca="1" si="6"/>
        <v>18906.624479166665</v>
      </c>
      <c r="AJ12" s="538">
        <f t="shared" ca="1" si="6"/>
        <v>77464.378552573457</v>
      </c>
      <c r="AK12" s="273">
        <f t="shared" ca="1" si="6"/>
        <v>132997.19099999999</v>
      </c>
      <c r="AL12" s="539">
        <f t="shared" ca="1" si="6"/>
        <v>137663.75910526313</v>
      </c>
      <c r="AM12" s="540">
        <f t="shared" ca="1" si="6"/>
        <v>117539.20913915151</v>
      </c>
      <c r="AN12" s="273">
        <f t="shared" ca="1" si="6"/>
        <v>130031.541</v>
      </c>
      <c r="AO12" s="539">
        <f t="shared" ca="1" si="6"/>
        <v>156282.03988732395</v>
      </c>
      <c r="AP12" s="541">
        <f t="shared" ca="1" si="6"/>
        <v>153198.82633154519</v>
      </c>
      <c r="AQ12" s="273">
        <f t="shared" ca="1" si="6"/>
        <v>157813.285</v>
      </c>
      <c r="AR12" s="273">
        <f t="shared" ca="1" si="6"/>
        <v>180275.75987226277</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1167</v>
      </c>
      <c r="C13" s="520">
        <f>C12*0.86/1000</f>
        <v>754.65194647000567</v>
      </c>
      <c r="D13" s="521">
        <f ca="1">D36</f>
        <v>913.17900000000009</v>
      </c>
      <c r="E13" s="522">
        <f ca="1">E36</f>
        <v>936.3042449457281</v>
      </c>
      <c r="F13" s="50">
        <f>C13/'Ввод исходных данных'!$G$56</f>
        <v>0.17428048924274395</v>
      </c>
      <c r="G13" s="501" t="s">
        <v>868</v>
      </c>
      <c r="H13" s="502" t="s">
        <v>1167</v>
      </c>
      <c r="I13" s="523">
        <f ca="1">I12*0.86/1000</f>
        <v>144.20262485349508</v>
      </c>
      <c r="J13" s="261">
        <f ca="1">J36</f>
        <v>146.18</v>
      </c>
      <c r="K13" s="524">
        <f ca="1">K36</f>
        <v>158.8301923076923</v>
      </c>
      <c r="L13" s="523">
        <f ca="1">L12*0.86/1000</f>
        <v>123.32652452605006</v>
      </c>
      <c r="M13" s="261">
        <f ca="1">M36</f>
        <v>129.321</v>
      </c>
      <c r="N13" s="524">
        <f ca="1">N36</f>
        <v>130.94257993730406</v>
      </c>
      <c r="O13" s="523">
        <f ca="1">O12*0.86/1000</f>
        <v>99.185178100171015</v>
      </c>
      <c r="P13" s="261">
        <f ca="1">P36</f>
        <v>127.833</v>
      </c>
      <c r="Q13" s="524">
        <f ca="1">Q36</f>
        <v>108.37053633217992</v>
      </c>
      <c r="R13" s="523">
        <f ca="1">R12*0.86/1000</f>
        <v>58.908829799075001</v>
      </c>
      <c r="S13" s="261">
        <f ca="1">S36</f>
        <v>100.104</v>
      </c>
      <c r="T13" s="524">
        <f ca="1">T36</f>
        <v>94.926206896551719</v>
      </c>
      <c r="U13" s="523">
        <f ca="1">U12*0.86/1000</f>
        <v>1.8288880217408541</v>
      </c>
      <c r="V13" s="261">
        <f ca="1">V36</f>
        <v>28.440999999999999</v>
      </c>
      <c r="W13" s="524">
        <f ca="1">W36</f>
        <v>11.139391666666667</v>
      </c>
      <c r="X13" s="523">
        <f>X12*0.86/1000</f>
        <v>0</v>
      </c>
      <c r="Y13" s="261">
        <f ca="1">Y36</f>
        <v>-4.9169999999999998</v>
      </c>
      <c r="Z13" s="524">
        <f ca="1">Z36</f>
        <v>0</v>
      </c>
      <c r="AA13" s="523">
        <f>AA12*0.86/1000</f>
        <v>0</v>
      </c>
      <c r="AB13" s="261">
        <f ca="1">AB36</f>
        <v>-3.931</v>
      </c>
      <c r="AC13" s="524">
        <f ca="1">AC36</f>
        <v>0</v>
      </c>
      <c r="AD13" s="523">
        <f>AD12*0.86/1000</f>
        <v>0</v>
      </c>
      <c r="AE13" s="261">
        <f ca="1">AE36</f>
        <v>-6.0110000000000001</v>
      </c>
      <c r="AF13" s="524">
        <f ca="1">AF36</f>
        <v>0</v>
      </c>
      <c r="AG13" s="523">
        <f ca="1">AG12*0.86/1000</f>
        <v>3.5188726325888244</v>
      </c>
      <c r="AH13" s="261">
        <f ca="1">AH36</f>
        <v>34.299999999999997</v>
      </c>
      <c r="AI13" s="524">
        <f ca="1">AI36</f>
        <v>16.256770833333331</v>
      </c>
      <c r="AJ13" s="523">
        <f ca="1">AJ12*0.86/1000</f>
        <v>66.619365555213164</v>
      </c>
      <c r="AK13" s="261">
        <f ca="1">AK36</f>
        <v>114.357</v>
      </c>
      <c r="AL13" s="524">
        <f ca="1">AL36</f>
        <v>118.36952631578946</v>
      </c>
      <c r="AM13" s="523">
        <f ca="1">AM12*0.86/1000</f>
        <v>101.0837198596703</v>
      </c>
      <c r="AN13" s="261">
        <f ca="1">AN36</f>
        <v>111.807</v>
      </c>
      <c r="AO13" s="524">
        <f ca="1">AO36</f>
        <v>134.37836619718311</v>
      </c>
      <c r="AP13" s="525">
        <f ca="1">AP12*0.86/1000</f>
        <v>131.75099064512887</v>
      </c>
      <c r="AQ13" s="261">
        <f ca="1">AQ36</f>
        <v>135.69499999999999</v>
      </c>
      <c r="AR13" s="261">
        <f ca="1">AR36</f>
        <v>155.00925182481751</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1164</v>
      </c>
      <c r="C14" s="526">
        <f ca="1">C12/$C$6</f>
        <v>0.65119989937263012</v>
      </c>
      <c r="D14" s="527">
        <f ca="1">D12/$D$6</f>
        <v>0.67224967572379024</v>
      </c>
      <c r="E14" s="528"/>
      <c r="F14" s="50">
        <f ca="1">E13/'Ввод исходных данных'!$G$56</f>
        <v>0.21623155237655667</v>
      </c>
      <c r="G14" s="501"/>
      <c r="H14" s="502"/>
      <c r="I14" s="529">
        <f t="shared" ref="I14:AR14" ca="1" si="7">I12/I$6</f>
        <v>0.78977468686368046</v>
      </c>
      <c r="J14" s="515">
        <f t="shared" ca="1" si="7"/>
        <v>0.77884108410914388</v>
      </c>
      <c r="K14" s="530">
        <f t="shared" ca="1" si="7"/>
        <v>0.79280590580613119</v>
      </c>
      <c r="L14" s="529">
        <f t="shared" ca="1" si="7"/>
        <v>0.78048377569579919</v>
      </c>
      <c r="M14" s="515">
        <f t="shared" ca="1" si="7"/>
        <v>0.77222423721198896</v>
      </c>
      <c r="N14" s="530">
        <f t="shared" ca="1" si="7"/>
        <v>0.7744086523388759</v>
      </c>
      <c r="O14" s="529">
        <f t="shared" ca="1" si="7"/>
        <v>0.72098182066302174</v>
      </c>
      <c r="P14" s="515">
        <f t="shared" ca="1" si="7"/>
        <v>0.76679467743540197</v>
      </c>
      <c r="Q14" s="530">
        <f t="shared" ca="1" si="7"/>
        <v>0.73597091136811399</v>
      </c>
      <c r="R14" s="529">
        <f t="shared" ca="1" si="7"/>
        <v>0.61324668763751777</v>
      </c>
      <c r="S14" s="515">
        <f t="shared" ca="1" si="7"/>
        <v>0.7149835611012082</v>
      </c>
      <c r="T14" s="530">
        <f t="shared" ca="1" si="7"/>
        <v>0.70403833389529491</v>
      </c>
      <c r="U14" s="529">
        <f t="shared" ca="1" si="7"/>
        <v>6.0681755089117183E-2</v>
      </c>
      <c r="V14" s="515">
        <f t="shared" ca="1" si="7"/>
        <v>0.42809127072257958</v>
      </c>
      <c r="W14" s="530">
        <f t="shared" ca="1" si="7"/>
        <v>0.22670918285478686</v>
      </c>
      <c r="X14" s="529">
        <f t="shared" si="7"/>
        <v>0</v>
      </c>
      <c r="Y14" s="515">
        <f t="shared" ca="1" si="7"/>
        <v>-0.16534889994786645</v>
      </c>
      <c r="Z14" s="530">
        <f t="shared" ca="1" si="7"/>
        <v>0</v>
      </c>
      <c r="AA14" s="529">
        <f t="shared" si="7"/>
        <v>0</v>
      </c>
      <c r="AB14" s="515">
        <f t="shared" ca="1" si="7"/>
        <v>-0.2443454906949151</v>
      </c>
      <c r="AC14" s="530">
        <f t="shared" ca="1" si="7"/>
        <v>0</v>
      </c>
      <c r="AD14" s="529">
        <f t="shared" si="7"/>
        <v>0</v>
      </c>
      <c r="AE14" s="515">
        <f t="shared" ca="1" si="7"/>
        <v>-0.2268739152502989</v>
      </c>
      <c r="AF14" s="530">
        <f t="shared" ca="1" si="7"/>
        <v>0</v>
      </c>
      <c r="AG14" s="529">
        <f t="shared" ca="1" si="7"/>
        <v>9.5175144604091641E-2</v>
      </c>
      <c r="AH14" s="515">
        <f t="shared" ca="1" si="7"/>
        <v>0.4945888440185795</v>
      </c>
      <c r="AI14" s="530">
        <f t="shared" ca="1" si="7"/>
        <v>0.31685100533008426</v>
      </c>
      <c r="AJ14" s="529">
        <f t="shared" ca="1" si="7"/>
        <v>0.63444728458298638</v>
      </c>
      <c r="AK14" s="515">
        <f t="shared" ca="1" si="7"/>
        <v>0.73270512733637327</v>
      </c>
      <c r="AL14" s="530">
        <f t="shared" ca="1" si="7"/>
        <v>0.73940475786520243</v>
      </c>
      <c r="AM14" s="529">
        <f t="shared" ca="1" si="7"/>
        <v>0.73124302346599179</v>
      </c>
      <c r="AN14" s="515">
        <f t="shared" ca="1" si="7"/>
        <v>0.71916182110653815</v>
      </c>
      <c r="AO14" s="530">
        <f t="shared" ca="1" si="7"/>
        <v>0.7547656551683295</v>
      </c>
      <c r="AP14" s="514">
        <f t="shared" ca="1" si="7"/>
        <v>0.77438900838368485</v>
      </c>
      <c r="AQ14" s="515">
        <f t="shared" ca="1" si="7"/>
        <v>0.76721282792427381</v>
      </c>
      <c r="AR14" s="515">
        <f t="shared" ca="1" si="7"/>
        <v>0.7901309151807161</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982</v>
      </c>
      <c r="B15" s="532" t="s">
        <v>837</v>
      </c>
      <c r="C15" s="542">
        <f>C85</f>
        <v>467619.70554208959</v>
      </c>
      <c r="D15" s="543">
        <f ca="1">D85</f>
        <v>494927.44299999997</v>
      </c>
      <c r="E15" s="544">
        <f ca="1">D85</f>
        <v>494927.44299999997</v>
      </c>
      <c r="F15" s="50">
        <f ca="1">E13/C13-1</f>
        <v>0.24071003768747623</v>
      </c>
      <c r="G15" s="536" t="s">
        <v>982</v>
      </c>
      <c r="H15" s="537" t="s">
        <v>837</v>
      </c>
      <c r="I15" s="538">
        <f>I85</f>
        <v>44433.544566653443</v>
      </c>
      <c r="J15" s="273">
        <f ca="1">J85</f>
        <v>45322.11</v>
      </c>
      <c r="K15" s="545">
        <f ca="1">J15</f>
        <v>45322.11</v>
      </c>
      <c r="L15" s="538">
        <f>K85</f>
        <v>40133.524124719239</v>
      </c>
      <c r="M15" s="273">
        <f ca="1">L85</f>
        <v>40913.177000000003</v>
      </c>
      <c r="N15" s="546">
        <f ca="1">M15</f>
        <v>40913.177000000003</v>
      </c>
      <c r="O15" s="540">
        <f>M85</f>
        <v>44433.544566653443</v>
      </c>
      <c r="P15" s="274">
        <f ca="1">N85</f>
        <v>45213.951000000001</v>
      </c>
      <c r="Q15" s="545">
        <f ca="1">P15</f>
        <v>45213.951000000001</v>
      </c>
      <c r="R15" s="540">
        <f>O85</f>
        <v>43000.204419342044</v>
      </c>
      <c r="S15" s="274">
        <f ca="1">P85</f>
        <v>42619.298000000003</v>
      </c>
      <c r="T15" s="539">
        <f ca="1">S15</f>
        <v>42619.298000000003</v>
      </c>
      <c r="U15" s="538">
        <f>Q85</f>
        <v>32719.246453626631</v>
      </c>
      <c r="V15" s="273">
        <f ca="1">R85</f>
        <v>43588.076999999997</v>
      </c>
      <c r="W15" s="545">
        <f ca="1">V15</f>
        <v>43588.076999999997</v>
      </c>
      <c r="X15" s="538">
        <f>S85</f>
        <v>31663.786890606418</v>
      </c>
      <c r="Y15" s="273">
        <f ca="1">T85</f>
        <v>38619.741000000002</v>
      </c>
      <c r="Z15" s="545">
        <f ca="1">Y15</f>
        <v>38619.741000000002</v>
      </c>
      <c r="AA15" s="538">
        <f>U85</f>
        <v>18998.272134363851</v>
      </c>
      <c r="AB15" s="273">
        <f ca="1">V85</f>
        <v>21318.952999999998</v>
      </c>
      <c r="AC15" s="545">
        <f ca="1">AB15</f>
        <v>21318.952999999998</v>
      </c>
      <c r="AD15" s="538">
        <f>W85</f>
        <v>32719.246453626631</v>
      </c>
      <c r="AE15" s="273">
        <f ca="1">X85</f>
        <v>36205.353000000003</v>
      </c>
      <c r="AF15" s="539">
        <f ca="1">AE15</f>
        <v>36205.353000000003</v>
      </c>
      <c r="AG15" s="540">
        <f>Y85</f>
        <v>38700.18397740784</v>
      </c>
      <c r="AH15" s="274">
        <f ca="1">Z85</f>
        <v>39297.769999999997</v>
      </c>
      <c r="AI15" s="545">
        <f ca="1">AH15</f>
        <v>39297.769999999997</v>
      </c>
      <c r="AJ15" s="540">
        <f>AA85</f>
        <v>44433.544566653443</v>
      </c>
      <c r="AK15" s="274">
        <f ca="1">AB85</f>
        <v>46221.109000000004</v>
      </c>
      <c r="AL15" s="545">
        <f ca="1">AK15</f>
        <v>46221.109000000004</v>
      </c>
      <c r="AM15" s="540">
        <f>AC85</f>
        <v>43000.204419342044</v>
      </c>
      <c r="AN15" s="274">
        <f ca="1">AD85</f>
        <v>47849.309000000001</v>
      </c>
      <c r="AO15" s="545">
        <f ca="1">AN15</f>
        <v>47849.309000000001</v>
      </c>
      <c r="AP15" s="547">
        <f>AE85</f>
        <v>44433.544566653443</v>
      </c>
      <c r="AQ15" s="273">
        <f ca="1">AF85</f>
        <v>47758.594999999994</v>
      </c>
      <c r="AR15" s="274">
        <f ca="1">AQ15</f>
        <v>47758.594999999994</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1167</v>
      </c>
      <c r="C16" s="520">
        <f>C15*0.86/1000</f>
        <v>402.15294676619703</v>
      </c>
      <c r="D16" s="626">
        <f ca="1">D86</f>
        <v>425.56099999999998</v>
      </c>
      <c r="E16" s="1230">
        <f ca="1">D86</f>
        <v>425.56099999999998</v>
      </c>
      <c r="F16" s="50"/>
      <c r="G16" s="501" t="s">
        <v>868</v>
      </c>
      <c r="H16" s="502" t="s">
        <v>1167</v>
      </c>
      <c r="I16" s="523">
        <f>I15*0.86/1000</f>
        <v>38.212848327321964</v>
      </c>
      <c r="J16" s="71">
        <f ca="1">J86</f>
        <v>38.97</v>
      </c>
      <c r="K16" s="548">
        <f ca="1">J16</f>
        <v>38.97</v>
      </c>
      <c r="L16" s="523">
        <f>L15*0.86/1000</f>
        <v>34.514830747258543</v>
      </c>
      <c r="M16" s="71">
        <f ca="1">L86</f>
        <v>35.179000000000002</v>
      </c>
      <c r="N16" s="549">
        <f ca="1">M16</f>
        <v>35.179000000000002</v>
      </c>
      <c r="O16" s="523">
        <f>O15*0.86/1000</f>
        <v>38.212848327321964</v>
      </c>
      <c r="P16" s="71">
        <f ca="1">N86</f>
        <v>38.877000000000002</v>
      </c>
      <c r="Q16" s="548">
        <f ca="1">P16</f>
        <v>38.877000000000002</v>
      </c>
      <c r="R16" s="523">
        <f>R15*0.86/1000</f>
        <v>36.980175800634157</v>
      </c>
      <c r="S16" s="71">
        <f ca="1">P86</f>
        <v>36.646000000000001</v>
      </c>
      <c r="T16" s="548">
        <f ca="1">S16</f>
        <v>36.646000000000001</v>
      </c>
      <c r="U16" s="523">
        <f>U15*0.86/1000</f>
        <v>28.138551950118902</v>
      </c>
      <c r="V16" s="71">
        <f ca="1">R86</f>
        <v>37.478999999999999</v>
      </c>
      <c r="W16" s="548">
        <f ca="1">V16</f>
        <v>37.478999999999999</v>
      </c>
      <c r="X16" s="523">
        <f>X15*0.86/1000</f>
        <v>27.23085672592152</v>
      </c>
      <c r="Y16" s="71">
        <f ca="1">T86</f>
        <v>33.207000000000001</v>
      </c>
      <c r="Z16" s="548">
        <f ca="1">Y16</f>
        <v>33.207000000000001</v>
      </c>
      <c r="AA16" s="523">
        <f>AA15*0.86/1000</f>
        <v>16.338514035552912</v>
      </c>
      <c r="AB16" s="71">
        <f ca="1">V86</f>
        <v>18.331</v>
      </c>
      <c r="AC16" s="548">
        <f ca="1">AB16</f>
        <v>18.331</v>
      </c>
      <c r="AD16" s="523">
        <f>AD15*0.86/1000</f>
        <v>28.138551950118902</v>
      </c>
      <c r="AE16" s="71">
        <f ca="1">X86</f>
        <v>31.131</v>
      </c>
      <c r="AF16" s="548">
        <f ca="1">AE16</f>
        <v>31.131</v>
      </c>
      <c r="AG16" s="523">
        <f>AG15*0.86/1000</f>
        <v>33.282158220570736</v>
      </c>
      <c r="AH16" s="71">
        <f ca="1">Z86</f>
        <v>33.79</v>
      </c>
      <c r="AI16" s="548">
        <f ca="1">AH16</f>
        <v>33.79</v>
      </c>
      <c r="AJ16" s="523">
        <f>AJ15*0.86/1000</f>
        <v>38.212848327321964</v>
      </c>
      <c r="AK16" s="71">
        <f ca="1">AB86</f>
        <v>39.743000000000002</v>
      </c>
      <c r="AL16" s="548">
        <f ca="1">AK16</f>
        <v>39.743000000000002</v>
      </c>
      <c r="AM16" s="523">
        <f>AM15*0.86/1000</f>
        <v>36.980175800634157</v>
      </c>
      <c r="AN16" s="71">
        <f ca="1">AD86</f>
        <v>41.143000000000001</v>
      </c>
      <c r="AO16" s="548">
        <f ca="1">AN16</f>
        <v>41.143000000000001</v>
      </c>
      <c r="AP16" s="525">
        <f>AP15*0.86/1000</f>
        <v>38.212848327321964</v>
      </c>
      <c r="AQ16" s="71">
        <f ca="1">AF86</f>
        <v>41.064999999999998</v>
      </c>
      <c r="AR16" s="71">
        <f ca="1">AQ16</f>
        <v>41.064999999999998</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1164</v>
      </c>
      <c r="C17" s="550">
        <f ca="1">C15/$C$6</f>
        <v>0.34702349830480816</v>
      </c>
      <c r="D17" s="551">
        <f ca="1">D15/$D$6</f>
        <v>0.31328276739904426</v>
      </c>
      <c r="E17" s="552"/>
      <c r="F17" s="50"/>
      <c r="G17" s="506"/>
      <c r="H17" s="507"/>
      <c r="I17" s="508">
        <f t="shared" ref="I17:AR17" ca="1" si="8">I15/I$6</f>
        <v>0.2092856517177922</v>
      </c>
      <c r="J17" s="509">
        <f t="shared" ca="1" si="8"/>
        <v>0.20763057222419851</v>
      </c>
      <c r="K17" s="510">
        <f t="shared" ca="1" si="8"/>
        <v>0.19451998200324933</v>
      </c>
      <c r="L17" s="508">
        <f t="shared" ca="1" si="8"/>
        <v>0.21843042705246821</v>
      </c>
      <c r="M17" s="509">
        <f t="shared" ca="1" si="8"/>
        <v>0.21006701495411079</v>
      </c>
      <c r="N17" s="553">
        <f t="shared" ca="1" si="8"/>
        <v>0.20805243026121345</v>
      </c>
      <c r="O17" s="508">
        <f t="shared" ca="1" si="8"/>
        <v>0.27777102877133397</v>
      </c>
      <c r="P17" s="509">
        <f t="shared" ca="1" si="8"/>
        <v>0.23320016486084283</v>
      </c>
      <c r="Q17" s="510">
        <f t="shared" ca="1" si="8"/>
        <v>0.26402324921189785</v>
      </c>
      <c r="R17" s="508">
        <f t="shared" ca="1" si="8"/>
        <v>0.38496725185921249</v>
      </c>
      <c r="S17" s="509">
        <f t="shared" ca="1" si="8"/>
        <v>0.26174066550901937</v>
      </c>
      <c r="T17" s="510">
        <f t="shared" ca="1" si="8"/>
        <v>0.27179205434852571</v>
      </c>
      <c r="U17" s="508">
        <f t="shared" ca="1" si="8"/>
        <v>0.93362562261969972</v>
      </c>
      <c r="V17" s="509">
        <f t="shared" ca="1" si="8"/>
        <v>0.56413040102006118</v>
      </c>
      <c r="W17" s="510">
        <f t="shared" ca="1" si="8"/>
        <v>0.76277356236968863</v>
      </c>
      <c r="X17" s="508">
        <f t="shared" si="8"/>
        <v>0.99373887569462227</v>
      </c>
      <c r="Y17" s="509">
        <f t="shared" ca="1" si="8"/>
        <v>1.1166851577321133</v>
      </c>
      <c r="Z17" s="510">
        <f t="shared" ca="1" si="8"/>
        <v>0.95824105362957823</v>
      </c>
      <c r="AA17" s="508">
        <f t="shared" si="8"/>
        <v>0.98960816918735606</v>
      </c>
      <c r="AB17" s="509">
        <f t="shared" ca="1" si="8"/>
        <v>1.139429455591068</v>
      </c>
      <c r="AC17" s="510">
        <f t="shared" ca="1" si="8"/>
        <v>0.9156857674268134</v>
      </c>
      <c r="AD17" s="508">
        <f t="shared" si="8"/>
        <v>0.99393962342153452</v>
      </c>
      <c r="AE17" s="509">
        <f t="shared" ca="1" si="8"/>
        <v>1.174981177118126</v>
      </c>
      <c r="AF17" s="510">
        <f t="shared" ca="1" si="8"/>
        <v>0.95770328353457079</v>
      </c>
      <c r="AG17" s="508">
        <f t="shared" ca="1" si="8"/>
        <v>0.90018439202462941</v>
      </c>
      <c r="AH17" s="509">
        <f t="shared" ca="1" si="8"/>
        <v>0.48723489910751611</v>
      </c>
      <c r="AI17" s="510">
        <f t="shared" ca="1" si="8"/>
        <v>0.65858069722868073</v>
      </c>
      <c r="AJ17" s="508">
        <f t="shared" ca="1" si="8"/>
        <v>0.36391877429931124</v>
      </c>
      <c r="AK17" s="509">
        <f t="shared" ca="1" si="8"/>
        <v>0.254640292030479</v>
      </c>
      <c r="AL17" s="510">
        <f t="shared" ca="1" si="8"/>
        <v>0.24825784309924104</v>
      </c>
      <c r="AM17" s="508">
        <f t="shared" ca="1" si="8"/>
        <v>0.26751583339335</v>
      </c>
      <c r="AN17" s="509">
        <f t="shared" ca="1" si="8"/>
        <v>0.26463884019592959</v>
      </c>
      <c r="AO17" s="510">
        <f t="shared" ca="1" si="8"/>
        <v>0.23108871040315962</v>
      </c>
      <c r="AP17" s="511">
        <f t="shared" ca="1" si="8"/>
        <v>0.22460255956189329</v>
      </c>
      <c r="AQ17" s="512">
        <f t="shared" ca="1" si="8"/>
        <v>0.23217948176948525</v>
      </c>
      <c r="AR17" s="512">
        <f t="shared" ca="1" si="8"/>
        <v>0.20932122212011911</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1171</v>
      </c>
      <c r="B18" s="554" t="s">
        <v>837</v>
      </c>
      <c r="C18" s="555">
        <f ca="1">C100</f>
        <v>2394</v>
      </c>
      <c r="D18" s="556">
        <f>D100</f>
        <v>22856</v>
      </c>
      <c r="E18" s="557">
        <f>D100</f>
        <v>22856</v>
      </c>
      <c r="F18" s="50"/>
      <c r="G18" s="489" t="s">
        <v>1169</v>
      </c>
      <c r="H18" s="490" t="s">
        <v>837</v>
      </c>
      <c r="I18" s="295">
        <f>I100</f>
        <v>199.5</v>
      </c>
      <c r="J18" s="558">
        <f>J100</f>
        <v>2953</v>
      </c>
      <c r="K18" s="559">
        <f>J18</f>
        <v>2953</v>
      </c>
      <c r="L18" s="295">
        <f>K100</f>
        <v>199.5</v>
      </c>
      <c r="M18" s="558">
        <f>L100</f>
        <v>3449</v>
      </c>
      <c r="N18" s="559">
        <f>M18</f>
        <v>3449</v>
      </c>
      <c r="O18" s="295">
        <f>M100</f>
        <v>199.5</v>
      </c>
      <c r="P18" s="558">
        <f>N100</f>
        <v>1</v>
      </c>
      <c r="Q18" s="559">
        <f>P18</f>
        <v>1</v>
      </c>
      <c r="R18" s="295">
        <f>O100</f>
        <v>199.5</v>
      </c>
      <c r="S18" s="558">
        <f>P100</f>
        <v>3789.9999999999995</v>
      </c>
      <c r="T18" s="559">
        <f>S18</f>
        <v>3789.9999999999995</v>
      </c>
      <c r="U18" s="295">
        <f>Q100</f>
        <v>199.5</v>
      </c>
      <c r="V18" s="558">
        <f>R100</f>
        <v>601</v>
      </c>
      <c r="W18" s="559">
        <f>V18</f>
        <v>601</v>
      </c>
      <c r="X18" s="295">
        <f>S100</f>
        <v>199.5</v>
      </c>
      <c r="Y18" s="558">
        <f>T100</f>
        <v>1683</v>
      </c>
      <c r="Z18" s="559">
        <f>Y18</f>
        <v>1683</v>
      </c>
      <c r="AA18" s="295">
        <f>U100</f>
        <v>199.5</v>
      </c>
      <c r="AB18" s="558">
        <f>V100</f>
        <v>1963</v>
      </c>
      <c r="AC18" s="559">
        <f>AB18</f>
        <v>1963</v>
      </c>
      <c r="AD18" s="295">
        <f>W100</f>
        <v>199.5</v>
      </c>
      <c r="AE18" s="558">
        <f>X100</f>
        <v>1598.9999999999998</v>
      </c>
      <c r="AF18" s="559">
        <f>AE18</f>
        <v>1598.9999999999998</v>
      </c>
      <c r="AG18" s="295">
        <f>Y100</f>
        <v>199.5</v>
      </c>
      <c r="AH18" s="558">
        <f>Z100</f>
        <v>1466.0000000000002</v>
      </c>
      <c r="AI18" s="559">
        <f>AH18</f>
        <v>1466.0000000000002</v>
      </c>
      <c r="AJ18" s="295">
        <f>AA100</f>
        <v>199.5</v>
      </c>
      <c r="AK18" s="558">
        <f>AB100</f>
        <v>2297</v>
      </c>
      <c r="AL18" s="559">
        <f>AK18</f>
        <v>2297</v>
      </c>
      <c r="AM18" s="295">
        <f>AC100</f>
        <v>199.5</v>
      </c>
      <c r="AN18" s="558">
        <f>AD100</f>
        <v>2929.0000000000005</v>
      </c>
      <c r="AO18" s="559">
        <f>AN18</f>
        <v>2929.0000000000005</v>
      </c>
      <c r="AP18" s="295">
        <f>AE100</f>
        <v>199.5</v>
      </c>
      <c r="AQ18" s="558">
        <f>AF100</f>
        <v>125</v>
      </c>
      <c r="AR18" s="559">
        <f>AQ18</f>
        <v>125</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1164</v>
      </c>
      <c r="C19" s="550">
        <f ca="1">C18/$C$6</f>
        <v>1.7766023225617344E-3</v>
      </c>
      <c r="D19" s="551">
        <f ca="1">D18/$D$6</f>
        <v>1.446755687716544E-2</v>
      </c>
      <c r="E19" s="561">
        <f ca="1">E18/$E$6</f>
        <v>1.4227119549748883E-2</v>
      </c>
      <c r="F19" s="50"/>
      <c r="G19" s="562"/>
      <c r="H19" s="507"/>
      <c r="I19" s="508">
        <f ca="1">I18/$C$6</f>
        <v>1.4805019354681119E-4</v>
      </c>
      <c r="J19" s="563"/>
      <c r="K19" s="564"/>
      <c r="L19" s="508">
        <f ca="1">L18/$C$6</f>
        <v>1.4805019354681119E-4</v>
      </c>
      <c r="M19" s="563"/>
      <c r="N19" s="564"/>
      <c r="O19" s="508">
        <f ca="1">O18/$C$6</f>
        <v>1.4805019354681119E-4</v>
      </c>
      <c r="P19" s="563"/>
      <c r="Q19" s="564"/>
      <c r="R19" s="508">
        <f ca="1">R18/$C$6</f>
        <v>1.4805019354681119E-4</v>
      </c>
      <c r="S19" s="563"/>
      <c r="T19" s="564"/>
      <c r="U19" s="508">
        <f ca="1">U18/$C$6</f>
        <v>1.4805019354681119E-4</v>
      </c>
      <c r="V19" s="563"/>
      <c r="W19" s="564"/>
      <c r="X19" s="508">
        <f ca="1">X18/$C$6</f>
        <v>1.4805019354681119E-4</v>
      </c>
      <c r="Y19" s="563"/>
      <c r="Z19" s="564"/>
      <c r="AA19" s="508">
        <f ca="1">AA18/$C$6</f>
        <v>1.4805019354681119E-4</v>
      </c>
      <c r="AB19" s="563"/>
      <c r="AC19" s="564"/>
      <c r="AD19" s="508">
        <f ca="1">AD18/$C$6</f>
        <v>1.4805019354681119E-4</v>
      </c>
      <c r="AE19" s="563"/>
      <c r="AF19" s="564"/>
      <c r="AG19" s="508">
        <f ca="1">AG18/$C$6</f>
        <v>1.4805019354681119E-4</v>
      </c>
      <c r="AH19" s="563"/>
      <c r="AI19" s="564"/>
      <c r="AJ19" s="508">
        <f ca="1">AJ18/$C$6</f>
        <v>1.4805019354681119E-4</v>
      </c>
      <c r="AK19" s="563"/>
      <c r="AL19" s="564"/>
      <c r="AM19" s="508">
        <f ca="1">AM18/$C$6</f>
        <v>1.4805019354681119E-4</v>
      </c>
      <c r="AN19" s="563"/>
      <c r="AO19" s="564"/>
      <c r="AP19" s="508">
        <f ca="1">AP18/$C$6</f>
        <v>1.4805019354681119E-4</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1170</v>
      </c>
      <c r="B20" s="566" t="s">
        <v>837</v>
      </c>
      <c r="C20" s="567"/>
      <c r="D20" s="534">
        <f ca="1">D6-C6</f>
        <v>232294.65112069459</v>
      </c>
      <c r="E20" s="568">
        <f ca="1">E6-C6</f>
        <v>258993.34033665736</v>
      </c>
      <c r="F20" s="50"/>
      <c r="G20" s="306" t="s">
        <v>1170</v>
      </c>
      <c r="H20" s="294" t="s">
        <v>837</v>
      </c>
      <c r="I20" s="335"/>
      <c r="J20" s="569">
        <f ca="1">J6-I6</f>
        <v>5971.9346734685823</v>
      </c>
      <c r="K20" s="570">
        <f ca="1">K6-I6</f>
        <v>20684.108327314723</v>
      </c>
      <c r="L20" s="335"/>
      <c r="M20" s="569">
        <f ca="1">M6-L6</f>
        <v>11026.54037987371</v>
      </c>
      <c r="N20" s="570">
        <f ca="1">N6-L6</f>
        <v>12912.437846958317</v>
      </c>
      <c r="O20" s="335"/>
      <c r="P20" s="569">
        <f ca="1">P6-O6</f>
        <v>33920.082991287229</v>
      </c>
      <c r="Q20" s="570">
        <f ca="1">Q6-O6</f>
        <v>11285.237745612481</v>
      </c>
      <c r="R20" s="335"/>
      <c r="S20" s="569">
        <f ca="1">S6-R6</f>
        <v>51131.906279407951</v>
      </c>
      <c r="T20" s="571">
        <f ca="1">T6-R6</f>
        <v>45110.132900097597</v>
      </c>
      <c r="U20" s="335"/>
      <c r="V20" s="572">
        <f ca="1">V6-U6</f>
        <v>42220.599567604928</v>
      </c>
      <c r="W20" s="570">
        <f ca="1">W6-U6</f>
        <v>22098.829075938265</v>
      </c>
      <c r="X20" s="573"/>
      <c r="Y20" s="569">
        <f ca="1">Y6-X6</f>
        <v>2720.9831093935863</v>
      </c>
      <c r="Z20" s="570">
        <f ca="1">Z6-X6</f>
        <v>8439.4541093935841</v>
      </c>
      <c r="AA20" s="335"/>
      <c r="AB20" s="569">
        <f ca="1">AB6-AA6</f>
        <v>-487.57213436385427</v>
      </c>
      <c r="AC20" s="574">
        <f ca="1">AC6-AA6</f>
        <v>4084.1808656361463</v>
      </c>
      <c r="AD20" s="335"/>
      <c r="AE20" s="569">
        <f ca="1">AE6-AD6</f>
        <v>-2105.186453626633</v>
      </c>
      <c r="AF20" s="574">
        <f ca="1">AF6-AD6</f>
        <v>4885.6065463733685</v>
      </c>
      <c r="AG20" s="335"/>
      <c r="AH20" s="572">
        <f ca="1">AH6-AG6</f>
        <v>37663.273659116763</v>
      </c>
      <c r="AI20" s="570">
        <f ca="1">AI6-AG6</f>
        <v>16678.998138283438</v>
      </c>
      <c r="AJ20" s="335"/>
      <c r="AK20" s="572">
        <f ca="1">AK6-AJ6</f>
        <v>59417.876880773081</v>
      </c>
      <c r="AL20" s="570">
        <f ca="1">AL6-AJ6</f>
        <v>64084.444986036222</v>
      </c>
      <c r="AM20" s="336"/>
      <c r="AN20" s="569">
        <f ca="1">AN6-AM6</f>
        <v>20070.936441506463</v>
      </c>
      <c r="AO20" s="570">
        <f ca="1">AO6-AM6</f>
        <v>46321.435328830412</v>
      </c>
      <c r="AP20" s="335"/>
      <c r="AQ20" s="569">
        <f ca="1">AQ6-AP6</f>
        <v>7865.0091018013773</v>
      </c>
      <c r="AR20" s="570">
        <f ca="1">AR6-AP6</f>
        <v>30327.483974064147</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1163</v>
      </c>
      <c r="C21" s="340"/>
      <c r="D21" s="575">
        <f ca="1">D20*0.123/1000</f>
        <v>28.572242087845432</v>
      </c>
      <c r="E21" s="575">
        <f ca="1">E20*0.123/1000</f>
        <v>31.856180861408856</v>
      </c>
      <c r="F21" s="50"/>
      <c r="G21" s="501" t="s">
        <v>868</v>
      </c>
      <c r="H21" s="502" t="s">
        <v>1163</v>
      </c>
      <c r="I21" s="576"/>
      <c r="J21" s="281">
        <f ca="1">J20*0.123/1000</f>
        <v>0.73454796483663565</v>
      </c>
      <c r="K21" s="577">
        <f ca="1">K20*0.123/1000</f>
        <v>2.544145324259711</v>
      </c>
      <c r="L21" s="576"/>
      <c r="M21" s="281">
        <f ca="1">M20*0.123/1000</f>
        <v>1.3562644667244663</v>
      </c>
      <c r="N21" s="577">
        <f ca="1">N20*0.123/1000</f>
        <v>1.5882298551758729</v>
      </c>
      <c r="O21" s="576"/>
      <c r="P21" s="281">
        <f ca="1">P20*0.123/1000</f>
        <v>4.1721702079283283</v>
      </c>
      <c r="Q21" s="577">
        <f ca="1">Q20*0.123/1000</f>
        <v>1.3880842427103353</v>
      </c>
      <c r="R21" s="576"/>
      <c r="S21" s="281">
        <f ca="1">S20*0.123/1000</f>
        <v>6.2892244723671773</v>
      </c>
      <c r="T21" s="578">
        <f ca="1">T20*0.123/1000</f>
        <v>5.548546346712004</v>
      </c>
      <c r="U21" s="576"/>
      <c r="V21" s="281">
        <f ca="1">V20*0.123/1000</f>
        <v>5.1931337468154064</v>
      </c>
      <c r="W21" s="577">
        <f ca="1">W20*0.123/1000</f>
        <v>2.7181559763404066</v>
      </c>
      <c r="X21" s="579"/>
      <c r="Y21" s="281">
        <f ca="1">Y20*0.123/1000</f>
        <v>0.33468092245541115</v>
      </c>
      <c r="Z21" s="577">
        <f ca="1">Z20*0.123/1000</f>
        <v>1.0380528554554107</v>
      </c>
      <c r="AA21" s="576"/>
      <c r="AB21" s="281">
        <f ca="1">AB20*0.123/1000</f>
        <v>-5.9971372526754073E-2</v>
      </c>
      <c r="AC21" s="577">
        <f ca="1">AC20*0.123/1000</f>
        <v>0.502354246473246</v>
      </c>
      <c r="AD21" s="576"/>
      <c r="AE21" s="281">
        <f ca="1">AE20*0.123/1000</f>
        <v>-0.25893793379607588</v>
      </c>
      <c r="AF21" s="577">
        <f ca="1">AF20*0.123/1000</f>
        <v>0.60092960520392436</v>
      </c>
      <c r="AG21" s="576"/>
      <c r="AH21" s="281">
        <f ca="1">AH20*0.123/1000</f>
        <v>4.6325826600713613</v>
      </c>
      <c r="AI21" s="577">
        <f ca="1">AI20*0.123/1000</f>
        <v>2.0515167710088624</v>
      </c>
      <c r="AJ21" s="576"/>
      <c r="AK21" s="281">
        <f ca="1">AK20*0.123/1000</f>
        <v>7.3083988563350886</v>
      </c>
      <c r="AL21" s="577">
        <f ca="1">AL20*0.123/1000</f>
        <v>7.8823867332824546</v>
      </c>
      <c r="AM21" s="580"/>
      <c r="AN21" s="281">
        <f ca="1">AN20*0.123/1000</f>
        <v>2.4687251823052949</v>
      </c>
      <c r="AO21" s="577">
        <f ca="1">AO20*0.123/1000</f>
        <v>5.6975365454461411</v>
      </c>
      <c r="AP21" s="576"/>
      <c r="AQ21" s="281">
        <f ca="1">AQ20*0.123/1000</f>
        <v>0.96739611952156945</v>
      </c>
      <c r="AR21" s="581">
        <f ca="1">AR20*0.123/1000</f>
        <v>3.7302805288098901</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1164</v>
      </c>
      <c r="C22" s="582"/>
      <c r="D22" s="583">
        <f ca="1">(D20/C6)*100</f>
        <v>17.238730856294644</v>
      </c>
      <c r="E22" s="583">
        <f ca="1">(E20/C6)*100</f>
        <v>19.220057225151514</v>
      </c>
      <c r="F22" s="50"/>
      <c r="G22" s="506" t="s">
        <v>868</v>
      </c>
      <c r="H22" s="507" t="s">
        <v>1164</v>
      </c>
      <c r="I22" s="584"/>
      <c r="J22" s="585">
        <f ca="1">(J20/I6)*100</f>
        <v>2.8128303792602107</v>
      </c>
      <c r="K22" s="586">
        <f ca="1">(K20/I6)*100</f>
        <v>9.7423852490314822</v>
      </c>
      <c r="L22" s="584"/>
      <c r="M22" s="585">
        <f ca="1">(M20/L6)*100</f>
        <v>6.0012968624492773</v>
      </c>
      <c r="N22" s="586">
        <f ca="1">(N20/L6)*100</f>
        <v>7.0277140488202496</v>
      </c>
      <c r="O22" s="584"/>
      <c r="P22" s="585">
        <f ca="1">(P20/O6)*100</f>
        <v>21.204737187611027</v>
      </c>
      <c r="Q22" s="586">
        <f ca="1">(Q20/O6)*100</f>
        <v>7.0548323999350986</v>
      </c>
      <c r="R22" s="584"/>
      <c r="S22" s="585">
        <f ca="1">(S20/R6)*100</f>
        <v>45.7767810839809</v>
      </c>
      <c r="T22" s="587">
        <f ca="1">(T20/R6)*100</f>
        <v>40.385677528879384</v>
      </c>
      <c r="U22" s="582"/>
      <c r="V22" s="583">
        <f ca="1">(V20/U6)*100</f>
        <v>120.47414849406786</v>
      </c>
      <c r="W22" s="588">
        <f ca="1">(W20/U6)*100</f>
        <v>63.057787973299476</v>
      </c>
      <c r="X22" s="589"/>
      <c r="Y22" s="590">
        <f ca="1">(Y20/X6)*100</f>
        <v>8.539555629446868</v>
      </c>
      <c r="Z22" s="591">
        <f ca="1">(Z20/X6)*100</f>
        <v>26.486451753606154</v>
      </c>
      <c r="AA22" s="584"/>
      <c r="AB22" s="585">
        <f ca="1">(AB20/AA6)*100</f>
        <v>-2.5397328968766342</v>
      </c>
      <c r="AC22" s="586">
        <f ca="1">(AC20/AA6)*100</f>
        <v>21.274243891693541</v>
      </c>
      <c r="AD22" s="584"/>
      <c r="AE22" s="585">
        <f ca="1">(AE20/AD6)*100</f>
        <v>-6.3950990861461134</v>
      </c>
      <c r="AF22" s="586">
        <f ca="1">(AF20/AD6)*100</f>
        <v>14.841411270796204</v>
      </c>
      <c r="AG22" s="584"/>
      <c r="AH22" s="585">
        <f ca="1">(AH20/AG6)*100</f>
        <v>87.606537271971291</v>
      </c>
      <c r="AI22" s="586">
        <f ca="1">(AI20/AG6)*100</f>
        <v>38.796130290893416</v>
      </c>
      <c r="AJ22" s="584"/>
      <c r="AK22" s="585">
        <f ca="1">(AK20/AJ6)*100</f>
        <v>48.66431687321699</v>
      </c>
      <c r="AL22" s="586">
        <f ca="1">(AL20/AJ6)*100</f>
        <v>52.486320635496462</v>
      </c>
      <c r="AM22" s="592"/>
      <c r="AN22" s="590">
        <f ca="1">(AN20/AM6)*100</f>
        <v>12.48666921852907</v>
      </c>
      <c r="AO22" s="591">
        <f ca="1">(AO20/AM6)*100</f>
        <v>28.817810387883362</v>
      </c>
      <c r="AP22" s="584"/>
      <c r="AQ22" s="585">
        <f ca="1">(AQ20/AP6)*100</f>
        <v>3.9756026499130646</v>
      </c>
      <c r="AR22" s="586">
        <f ca="1">(AR20/AP6)*100</f>
        <v>15.329928305470167</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1172</v>
      </c>
      <c r="B23" s="485" t="s">
        <v>1307</v>
      </c>
      <c r="C23" s="486">
        <f ca="1">C6/('Ввод исходных данных'!$G$56+'Ввод исходных данных'!$D$23)</f>
        <v>298.20217068232836</v>
      </c>
      <c r="D23" s="594">
        <f ca="1">D6/('Ввод исходных данных'!$G$56+'Ввод исходных данных'!$D$23)</f>
        <v>349.60844029388335</v>
      </c>
      <c r="E23" s="518">
        <f ca="1">E6/('Ввод исходных данных'!$G$56+'Ввод исходных данных'!$D$23)</f>
        <v>355.51679853411588</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1174</v>
      </c>
      <c r="C24" s="598">
        <f ca="1">C7*1000/('Ввод исходных данных'!$G$56+'Ввод исходных данных'!$G$23)</f>
        <v>38.277283243378804</v>
      </c>
      <c r="D24" s="599">
        <f ca="1">0.123*D23</f>
        <v>43.001838156147649</v>
      </c>
      <c r="E24" s="600">
        <f ca="1">0.123*E23</f>
        <v>43.728566219696255</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1215</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877502.26333721587</v>
      </c>
      <c r="C27" s="285">
        <f>C15</f>
        <v>467619.70554208959</v>
      </c>
      <c r="D27" s="285">
        <f ca="1">C18</f>
        <v>2394</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 ca="1">D12</f>
        <v>1062027.1770000001</v>
      </c>
      <c r="C28" s="285">
        <f ca="1">D15</f>
        <v>494927.44299999997</v>
      </c>
      <c r="D28" s="285">
        <f>D18</f>
        <v>22856</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1088725.8662159629</v>
      </c>
      <c r="C29" s="285">
        <f ca="1">E15</f>
        <v>494927.44299999997</v>
      </c>
      <c r="D29" s="285">
        <f>E18</f>
        <v>22856</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74" t="s">
        <v>1175</v>
      </c>
      <c r="B32" s="2474"/>
      <c r="C32" s="2474"/>
      <c r="D32" s="2474"/>
      <c r="F32" s="50"/>
      <c r="G32" s="286" t="s">
        <v>1176</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83" t="s">
        <v>829</v>
      </c>
      <c r="B33" s="2460" t="s">
        <v>1157</v>
      </c>
      <c r="C33" s="2487" t="s">
        <v>1158</v>
      </c>
      <c r="D33" s="2464" t="s">
        <v>1159</v>
      </c>
      <c r="E33" s="2466" t="s">
        <v>1160</v>
      </c>
      <c r="F33" s="50"/>
      <c r="G33" s="2485" t="s">
        <v>829</v>
      </c>
      <c r="H33" s="2481" t="s">
        <v>1157</v>
      </c>
      <c r="I33" s="2491" t="s">
        <v>488</v>
      </c>
      <c r="J33" s="2492"/>
      <c r="K33" s="2493"/>
      <c r="L33" s="2491" t="s">
        <v>489</v>
      </c>
      <c r="M33" s="2492"/>
      <c r="N33" s="2493"/>
      <c r="O33" s="2491" t="s">
        <v>490</v>
      </c>
      <c r="P33" s="2492"/>
      <c r="Q33" s="2493"/>
      <c r="R33" s="2491" t="s">
        <v>491</v>
      </c>
      <c r="S33" s="2492"/>
      <c r="T33" s="2493"/>
      <c r="U33" s="2491" t="s">
        <v>800</v>
      </c>
      <c r="V33" s="2492"/>
      <c r="W33" s="2493"/>
      <c r="X33" s="2491" t="s">
        <v>801</v>
      </c>
      <c r="Y33" s="2492"/>
      <c r="Z33" s="2493"/>
      <c r="AA33" s="2491" t="s">
        <v>802</v>
      </c>
      <c r="AB33" s="2492"/>
      <c r="AC33" s="2493"/>
      <c r="AD33" s="2491" t="s">
        <v>803</v>
      </c>
      <c r="AE33" s="2492"/>
      <c r="AF33" s="2493"/>
      <c r="AG33" s="2491" t="s">
        <v>804</v>
      </c>
      <c r="AH33" s="2492"/>
      <c r="AI33" s="2493"/>
      <c r="AJ33" s="2491" t="s">
        <v>482</v>
      </c>
      <c r="AK33" s="2492"/>
      <c r="AL33" s="2493"/>
      <c r="AM33" s="2491" t="s">
        <v>486</v>
      </c>
      <c r="AN33" s="2492"/>
      <c r="AO33" s="2493"/>
      <c r="AP33" s="2491" t="s">
        <v>487</v>
      </c>
      <c r="AQ33" s="2492"/>
      <c r="AR33" s="2493"/>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84"/>
      <c r="B34" s="2461"/>
      <c r="C34" s="2488"/>
      <c r="D34" s="2465"/>
      <c r="E34" s="2467"/>
      <c r="F34" s="50"/>
      <c r="G34" s="2486"/>
      <c r="H34" s="2482"/>
      <c r="I34" s="606" t="s">
        <v>1158</v>
      </c>
      <c r="J34" s="607" t="s">
        <v>1159</v>
      </c>
      <c r="K34" s="608" t="s">
        <v>1162</v>
      </c>
      <c r="L34" s="606" t="s">
        <v>1158</v>
      </c>
      <c r="M34" s="607" t="s">
        <v>1159</v>
      </c>
      <c r="N34" s="608" t="s">
        <v>1162</v>
      </c>
      <c r="O34" s="609" t="s">
        <v>1158</v>
      </c>
      <c r="P34" s="607" t="s">
        <v>1159</v>
      </c>
      <c r="Q34" s="610" t="s">
        <v>1162</v>
      </c>
      <c r="R34" s="606" t="s">
        <v>1158</v>
      </c>
      <c r="S34" s="607" t="s">
        <v>1159</v>
      </c>
      <c r="T34" s="608" t="s">
        <v>1162</v>
      </c>
      <c r="U34" s="609" t="s">
        <v>1158</v>
      </c>
      <c r="V34" s="607" t="s">
        <v>1159</v>
      </c>
      <c r="W34" s="610" t="s">
        <v>1162</v>
      </c>
      <c r="X34" s="606" t="s">
        <v>1158</v>
      </c>
      <c r="Y34" s="607" t="s">
        <v>1159</v>
      </c>
      <c r="Z34" s="608" t="s">
        <v>1162</v>
      </c>
      <c r="AA34" s="609" t="s">
        <v>1158</v>
      </c>
      <c r="AB34" s="607" t="s">
        <v>1159</v>
      </c>
      <c r="AC34" s="610" t="s">
        <v>1162</v>
      </c>
      <c r="AD34" s="606" t="s">
        <v>1158</v>
      </c>
      <c r="AE34" s="607" t="s">
        <v>1159</v>
      </c>
      <c r="AF34" s="608" t="s">
        <v>1162</v>
      </c>
      <c r="AG34" s="609" t="s">
        <v>1158</v>
      </c>
      <c r="AH34" s="607" t="s">
        <v>1159</v>
      </c>
      <c r="AI34" s="610" t="s">
        <v>1162</v>
      </c>
      <c r="AJ34" s="606" t="s">
        <v>1158</v>
      </c>
      <c r="AK34" s="607" t="s">
        <v>1159</v>
      </c>
      <c r="AL34" s="608" t="s">
        <v>1162</v>
      </c>
      <c r="AM34" s="609" t="s">
        <v>1158</v>
      </c>
      <c r="AN34" s="607" t="s">
        <v>1159</v>
      </c>
      <c r="AO34" s="610" t="s">
        <v>1162</v>
      </c>
      <c r="AP34" s="606" t="s">
        <v>1158</v>
      </c>
      <c r="AQ34" s="607" t="s">
        <v>1159</v>
      </c>
      <c r="AR34" s="608" t="s">
        <v>1162</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1177</v>
      </c>
      <c r="B35" s="612" t="s">
        <v>837</v>
      </c>
      <c r="C35" s="292">
        <f>C38+C62+C65+C68-C71</f>
        <v>877502.26333721587</v>
      </c>
      <c r="D35" s="291">
        <f ca="1">D36*1163</f>
        <v>1062027.1770000001</v>
      </c>
      <c r="E35" s="613">
        <f ca="1">D35*'Ввод исходных данных'!$H$285</f>
        <v>1088725.8662159629</v>
      </c>
      <c r="F35" s="614"/>
      <c r="G35" s="489" t="s">
        <v>1175</v>
      </c>
      <c r="H35" s="490" t="s">
        <v>837</v>
      </c>
      <c r="I35" s="295">
        <f ca="1">I38+I62+I65+I68-I71</f>
        <v>167677.47075987799</v>
      </c>
      <c r="J35" s="491">
        <f ca="1">J36*1163</f>
        <v>170007.34</v>
      </c>
      <c r="K35" s="615">
        <f ca="1">K36*1163</f>
        <v>184719.51365384614</v>
      </c>
      <c r="L35" s="296">
        <f ca="1">L38+L62+L65+L68-L71</f>
        <v>143402.93549540706</v>
      </c>
      <c r="M35" s="491">
        <f ca="1">M36*1163</f>
        <v>150400.323</v>
      </c>
      <c r="N35" s="615">
        <f ca="1">N36*1163</f>
        <v>152286.22046708461</v>
      </c>
      <c r="O35" s="295">
        <f ca="1">O38+O62+O65+O68-O71</f>
        <v>115331.60244205933</v>
      </c>
      <c r="P35" s="491">
        <f ca="1">P36*1163</f>
        <v>148669.77900000001</v>
      </c>
      <c r="Q35" s="616">
        <f ca="1">Q36*1163</f>
        <v>126034.93375432525</v>
      </c>
      <c r="R35" s="296">
        <f ca="1">R38+R62+R65+R68-R71</f>
        <v>68498.639301250005</v>
      </c>
      <c r="S35" s="615">
        <f ca="1">S36*1163</f>
        <v>116420.952</v>
      </c>
      <c r="T35" s="615">
        <f ca="1">T36*1163</f>
        <v>110399.17862068965</v>
      </c>
      <c r="U35" s="295">
        <f ca="1">U38+U62+U65+U68-U71</f>
        <v>2126.6139787684351</v>
      </c>
      <c r="V35" s="491">
        <f ca="1">V36*1163</f>
        <v>33076.883000000002</v>
      </c>
      <c r="W35" s="617">
        <f ca="1">W36*1163</f>
        <v>12955.112508333334</v>
      </c>
      <c r="X35" s="295">
        <f>X38+X62+X65+X68-X71</f>
        <v>0</v>
      </c>
      <c r="Y35" s="491">
        <f ca="1">Y36*1163</f>
        <v>-5718.4709999999995</v>
      </c>
      <c r="Z35" s="618">
        <f ca="1">Z36*1163</f>
        <v>0</v>
      </c>
      <c r="AA35" s="295">
        <f>AA38+AA62+AA65+AA68-AA71</f>
        <v>0</v>
      </c>
      <c r="AB35" s="491">
        <f ca="1">AB36*1163</f>
        <v>-4571.7529999999997</v>
      </c>
      <c r="AC35" s="618">
        <f ca="1">AC36*1163</f>
        <v>0</v>
      </c>
      <c r="AD35" s="295">
        <f>AD38+AD62+AD65+AD68-AD71</f>
        <v>0</v>
      </c>
      <c r="AE35" s="491">
        <f ca="1">AE36*1163</f>
        <v>-6990.7930000000006</v>
      </c>
      <c r="AF35" s="618">
        <f ca="1">AF36*1163</f>
        <v>0</v>
      </c>
      <c r="AG35" s="295">
        <f ca="1">AG38+AG62+AG65+AG68-AG71</f>
        <v>4091.7123634753771</v>
      </c>
      <c r="AH35" s="491">
        <f ca="1">AH36*1163</f>
        <v>39890.899999999994</v>
      </c>
      <c r="AI35" s="618">
        <f ca="1">AI36*1163</f>
        <v>18906.624479166665</v>
      </c>
      <c r="AJ35" s="295">
        <f ca="1">AJ38+AJ62+AJ65+AJ68-AJ71</f>
        <v>77464.378552573457</v>
      </c>
      <c r="AK35" s="491">
        <f ca="1">AK36*1163</f>
        <v>132997.19099999999</v>
      </c>
      <c r="AL35" s="616">
        <f ca="1">AL36*1163</f>
        <v>137663.75910526313</v>
      </c>
      <c r="AM35" s="295">
        <f ca="1">AM38+AM62+AM65+AM68-AM71</f>
        <v>117539.20913915151</v>
      </c>
      <c r="AN35" s="491">
        <f ca="1">AN36*1163</f>
        <v>130031.541</v>
      </c>
      <c r="AO35" s="616">
        <f ca="1">AO36*1163</f>
        <v>156282.03988732395</v>
      </c>
      <c r="AP35" s="295">
        <f ca="1">AP38+AP62+AP65+AP68-AP71</f>
        <v>153198.82633154519</v>
      </c>
      <c r="AQ35" s="491">
        <f ca="1">AQ36*1163</f>
        <v>157813.285</v>
      </c>
      <c r="AR35" s="618">
        <f ca="1">AR36*1163</f>
        <v>180275.75987226277</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1167</v>
      </c>
      <c r="C36" s="620">
        <f>0.86*C35/1000</f>
        <v>754.65194647000567</v>
      </c>
      <c r="D36" s="521">
        <f ca="1">'Ввод исходных данных'!J229</f>
        <v>913.17900000000009</v>
      </c>
      <c r="E36" s="621">
        <f ca="1">0.86*E35/1000</f>
        <v>936.3042449457281</v>
      </c>
      <c r="F36" s="622"/>
      <c r="G36" s="341" t="s">
        <v>868</v>
      </c>
      <c r="H36" s="342" t="s">
        <v>1167</v>
      </c>
      <c r="I36" s="623">
        <f ca="1">0.86*I35/1000</f>
        <v>144.20262485349508</v>
      </c>
      <c r="J36" s="624">
        <f ca="1">'Ввод исходных данных'!$J$217</f>
        <v>146.18</v>
      </c>
      <c r="K36" s="613">
        <f ca="1">(J36)*'Ввод исходных данных'!$H$273</f>
        <v>158.8301923076923</v>
      </c>
      <c r="L36" s="623">
        <f ca="1">0.86*L35/1000</f>
        <v>123.32652452605006</v>
      </c>
      <c r="M36" s="74">
        <f ca="1">'Ввод исходных данных'!$J$218</f>
        <v>129.321</v>
      </c>
      <c r="N36" s="613">
        <f ca="1">(M36)*'Ввод исходных данных'!$H$274</f>
        <v>130.94257993730406</v>
      </c>
      <c r="O36" s="623">
        <f ca="1">0.86*O35/1000</f>
        <v>99.185178100171015</v>
      </c>
      <c r="P36" s="74">
        <f ca="1">'Ввод исходных данных'!$J$219</f>
        <v>127.833</v>
      </c>
      <c r="Q36" s="613">
        <f ca="1">(P36)*'Ввод исходных данных'!$H$275</f>
        <v>108.37053633217992</v>
      </c>
      <c r="R36" s="623">
        <f ca="1">0.86*R35/1000</f>
        <v>58.908829799075001</v>
      </c>
      <c r="S36" s="74">
        <f ca="1">'Ввод исходных данных'!$J$220</f>
        <v>100.104</v>
      </c>
      <c r="T36" s="613">
        <f ca="1">(S36)*'Ввод исходных данных'!$H$276</f>
        <v>94.926206896551719</v>
      </c>
      <c r="U36" s="346"/>
      <c r="V36" s="74">
        <f ca="1">'Ввод исходных данных'!$J$221</f>
        <v>28.440999999999999</v>
      </c>
      <c r="W36" s="613">
        <f ca="1">(V36)*'Ввод исходных данных'!$H$277</f>
        <v>11.139391666666667</v>
      </c>
      <c r="X36" s="344"/>
      <c r="Y36" s="74">
        <f ca="1">'Ввод исходных данных'!$J$222</f>
        <v>-4.9169999999999998</v>
      </c>
      <c r="Z36" s="613">
        <f ca="1">(Y36)*'Ввод исходных данных'!$H$278</f>
        <v>0</v>
      </c>
      <c r="AA36" s="346"/>
      <c r="AB36" s="74">
        <f ca="1">'Ввод исходных данных'!$J$223</f>
        <v>-3.931</v>
      </c>
      <c r="AC36" s="613">
        <f ca="1">(AB36)*'Ввод исходных данных'!$H$279</f>
        <v>0</v>
      </c>
      <c r="AD36" s="344"/>
      <c r="AE36" s="74">
        <f ca="1">'Ввод исходных данных'!$J$224</f>
        <v>-6.0110000000000001</v>
      </c>
      <c r="AF36" s="613">
        <f ca="1">(AE36)*'Ввод исходных данных'!$H$280</f>
        <v>0</v>
      </c>
      <c r="AG36" s="346"/>
      <c r="AH36" s="74">
        <f ca="1">'Ввод исходных данных'!$J$225</f>
        <v>34.299999999999997</v>
      </c>
      <c r="AI36" s="613">
        <f ca="1">(AH36)*'Ввод исходных данных'!$H$281</f>
        <v>16.256770833333331</v>
      </c>
      <c r="AJ36" s="623">
        <f ca="1">0.86*AJ35/1000</f>
        <v>66.619365555213164</v>
      </c>
      <c r="AK36" s="625">
        <f ca="1">'Ввод исходных данных'!$J$226</f>
        <v>114.357</v>
      </c>
      <c r="AL36" s="613">
        <f ca="1">(AK36)*'Ввод исходных данных'!$H$282</f>
        <v>118.36952631578946</v>
      </c>
      <c r="AM36" s="623">
        <f ca="1">0.86*AM35/1000</f>
        <v>101.0837198596703</v>
      </c>
      <c r="AN36" s="625">
        <f ca="1">'Ввод исходных данных'!$J$227</f>
        <v>111.807</v>
      </c>
      <c r="AO36" s="613">
        <f ca="1">(AN36)*'Ввод исходных данных'!$H$283</f>
        <v>134.37836619718311</v>
      </c>
      <c r="AP36" s="623">
        <f ca="1">0.86*AP35/1000</f>
        <v>131.75099064512887</v>
      </c>
      <c r="AQ36" s="625">
        <f ca="1">'Ввод исходных данных'!$J$228</f>
        <v>135.69499999999999</v>
      </c>
      <c r="AR36" s="613">
        <f ca="1">(AQ36)*'Ввод исходных данных'!$H$284</f>
        <v>155.00925182481751</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1164</v>
      </c>
      <c r="C37" s="340"/>
      <c r="D37" s="626">
        <f ca="1">D39+D63+D66+D69-D72</f>
        <v>913.34337221999976</v>
      </c>
      <c r="E37" s="626">
        <f ca="1">E39+E63+E66+E69-E72</f>
        <v>936.30424494572799</v>
      </c>
      <c r="F37" s="627"/>
      <c r="G37" s="324" t="s">
        <v>868</v>
      </c>
      <c r="H37" s="350" t="s">
        <v>1164</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1178</v>
      </c>
      <c r="B38" s="612" t="s">
        <v>837</v>
      </c>
      <c r="C38" s="298">
        <f>C41+C44+C47+C50+C53+C56+C59</f>
        <v>547094.32020619023</v>
      </c>
      <c r="D38" s="634">
        <f ca="1">$C38*(($D$35+$D$71)/($C$35+$C$71))</f>
        <v>634987.77604399016</v>
      </c>
      <c r="E38" s="634">
        <f ca="1">$C38*(($E$35+$E$71)/($C$35+$C$71))</f>
        <v>647704.97511998506</v>
      </c>
      <c r="F38" s="635">
        <f ca="1">E38-E44+F44</f>
        <v>621498.51079330023</v>
      </c>
      <c r="G38" s="489" t="s">
        <v>1179</v>
      </c>
      <c r="H38" s="636" t="s">
        <v>837</v>
      </c>
      <c r="I38" s="298">
        <f>I41+I44+I47+I50+I53+I56+I59</f>
        <v>100207.65509449855</v>
      </c>
      <c r="J38" s="634">
        <f ca="1">I38*((J$35+J$71)/(I$35+I$71))</f>
        <v>101346.3936835544</v>
      </c>
      <c r="K38" s="634">
        <f ca="1">IFERROR(I38*((K$35+K$71)/(I$35+I$71)),0)</f>
        <v>108537.0632627828</v>
      </c>
      <c r="L38" s="298">
        <f>L41+L44+L47+L50+L53+L56+L59</f>
        <v>86238.275066575778</v>
      </c>
      <c r="M38" s="634">
        <f ca="1">L38*((M$35+M$71)/(L$35+L$71))</f>
        <v>89644.921266639722</v>
      </c>
      <c r="N38" s="634">
        <f ca="1">IFERROR(L38*((N$35+N$71)/(L$35+L$71)),0)</f>
        <v>90563.061849212434</v>
      </c>
      <c r="O38" s="298">
        <f>O41+O44+O47+O50+O53+O56+O59</f>
        <v>72421.461646466501</v>
      </c>
      <c r="P38" s="634">
        <f ca="1">O38*((P$35+P$71)/(O$35+O$71))</f>
        <v>88234.936539080809</v>
      </c>
      <c r="Q38" s="634">
        <f ca="1">IFERROR(O38*((Q$35+Q$71)/(O$35+O$71)),0)</f>
        <v>77498.429808767964</v>
      </c>
      <c r="R38" s="298">
        <f>R41+R44+R47+R50+R53+R56+R59</f>
        <v>47200.294292298779</v>
      </c>
      <c r="S38" s="634">
        <f ca="1">R38*((S$35+S$71)/(R$35+R$71))</f>
        <v>68816.321679705754</v>
      </c>
      <c r="T38" s="634">
        <f ca="1">IFERROR(R38*((T$35+T$71)/(R$35+R$71)),0)</f>
        <v>66100.116827360922</v>
      </c>
      <c r="U38" s="298">
        <f>U41+U44+U47+U50+U53+U56+U59</f>
        <v>5826.1373358776873</v>
      </c>
      <c r="V38" s="634">
        <f ca="1">IFERROR(U38*((V$35+V$71)/(U$35+U$71)),0)</f>
        <v>15962.884205647488</v>
      </c>
      <c r="W38" s="634">
        <f ca="1">IFERROR(U38*((W$35+W$71)/(U$35+U$71)),0)</f>
        <v>9372.6573515381551</v>
      </c>
      <c r="X38" s="298">
        <f>X41+X44+X47+X50+X53+X56+X59</f>
        <v>0</v>
      </c>
      <c r="Y38" s="634">
        <f ca="1">IFERROR(X38*((Y$35+Y$71)/(X$35+X$71)),0)</f>
        <v>0</v>
      </c>
      <c r="Z38" s="634">
        <f ca="1">IFERROR(X38*((Z$35+Z$71)/(X$35+X$71)),0)</f>
        <v>0</v>
      </c>
      <c r="AA38" s="298">
        <f>AA41+AA44+AA47+AA50+AA53+AA56+AA59</f>
        <v>0</v>
      </c>
      <c r="AB38" s="634">
        <f ca="1">IFERROR(AA38*((AB$35+AB$71)/(AA$35+AA$71)),0)</f>
        <v>0</v>
      </c>
      <c r="AC38" s="634">
        <f ca="1">IFERROR(AA38*((AC$35+AC$71)/(AA$35+AA$71)),0)</f>
        <v>0</v>
      </c>
      <c r="AD38" s="298">
        <f>AD41+AD44+AD47+AD50+AD53+AD56+AD59</f>
        <v>0</v>
      </c>
      <c r="AE38" s="634">
        <f ca="1">IFERROR(AD38*((AE$35+AE$71)/(AD$35+AD$71)),0)</f>
        <v>0</v>
      </c>
      <c r="AF38" s="634">
        <f ca="1">IFERROR(AD38*((AF$35+AF$71)/(AD$35+AD$71)),0)</f>
        <v>0</v>
      </c>
      <c r="AG38" s="298">
        <f>AG41+AG44+AG47+AG50+AG53+AG56+AG59</f>
        <v>6507.9193645442256</v>
      </c>
      <c r="AH38" s="634">
        <f ca="1">IFERROR(AG38*((AH$35+AH$71)/(AG$35+AG$71)),0)</f>
        <v>19067.994584615844</v>
      </c>
      <c r="AI38" s="634">
        <f ca="1">IFERROR(AG38*((AI$35+AI$71)/(AG$35+AG$71)),0)</f>
        <v>11705.702410380323</v>
      </c>
      <c r="AJ38" s="298">
        <f>AJ41+AJ44+AJ47+AJ50+AJ53+AJ56+AJ59</f>
        <v>52320.811067039052</v>
      </c>
      <c r="AK38" s="634">
        <f ca="1">IFERROR(AJ38*((AK$35+AK$71)/(AJ$35+AJ$71)),0)</f>
        <v>77627.444019867733</v>
      </c>
      <c r="AL38" s="634">
        <f ca="1">IFERROR(AJ38*((AL$35+AL$71)/(AJ$35+AJ$71)),0)</f>
        <v>79754.026863138541</v>
      </c>
      <c r="AM38" s="298">
        <f>AM41+AM44+AM47+AM50+AM53+AM56+AM59</f>
        <v>73231.971750475685</v>
      </c>
      <c r="AN38" s="634">
        <f ca="1">IFERROR(AM38*((AN$35+AN$71)/(AM$35+AM$71)),0)</f>
        <v>79184.743684720903</v>
      </c>
      <c r="AO38" s="634">
        <f ca="1">IFERROR(AM38*((AO$35+AO$71)/(AM$35+AM$71)),0)</f>
        <v>91693.475823524626</v>
      </c>
      <c r="AP38" s="298">
        <f>AP41+AP44+AP47+AP50+AP53+AP56+AP59</f>
        <v>92522.112225893929</v>
      </c>
      <c r="AQ38" s="634">
        <f ca="1">IFERROR(AP38*((AQ$35+AQ$71)/(AP$35+AP$71)),0)</f>
        <v>94762.710221825415</v>
      </c>
      <c r="AR38" s="634">
        <f ca="1">IFERROR(AP38*((AR$35+AR$71)/(AP$35+AP$71)),0)</f>
        <v>105669.59655423816</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1167</v>
      </c>
      <c r="C39" s="520">
        <f>0.86*C38/1000</f>
        <v>470.50111537732357</v>
      </c>
      <c r="D39" s="339">
        <f ca="1">0.86*D38/1000</f>
        <v>546.08948739783148</v>
      </c>
      <c r="E39" s="638">
        <f ca="1">0.86*E38/1000</f>
        <v>557.02627860318717</v>
      </c>
      <c r="F39" s="639"/>
      <c r="G39" s="341" t="s">
        <v>868</v>
      </c>
      <c r="H39" s="640" t="s">
        <v>1167</v>
      </c>
      <c r="I39" s="641">
        <f t="shared" ref="I39:W39" si="9">0.86*I38/1000</f>
        <v>86.178583381268751</v>
      </c>
      <c r="J39" s="642">
        <f t="shared" ca="1" si="9"/>
        <v>87.15789856785679</v>
      </c>
      <c r="K39" s="643">
        <f t="shared" ca="1" si="9"/>
        <v>93.34187440599321</v>
      </c>
      <c r="L39" s="644">
        <f t="shared" si="9"/>
        <v>74.164916557255168</v>
      </c>
      <c r="M39" s="645">
        <f t="shared" ca="1" si="9"/>
        <v>77.094632289310155</v>
      </c>
      <c r="N39" s="643">
        <f t="shared" ca="1" si="9"/>
        <v>77.884233190322689</v>
      </c>
      <c r="O39" s="646">
        <f t="shared" si="9"/>
        <v>62.282457015961192</v>
      </c>
      <c r="P39" s="643">
        <f t="shared" ca="1" si="9"/>
        <v>75.882045423609497</v>
      </c>
      <c r="Q39" s="643">
        <f t="shared" ca="1" si="9"/>
        <v>66.648649635540451</v>
      </c>
      <c r="R39" s="647">
        <f t="shared" si="9"/>
        <v>40.592253091376953</v>
      </c>
      <c r="S39" s="642">
        <f t="shared" ca="1" si="9"/>
        <v>59.182036644546947</v>
      </c>
      <c r="T39" s="648">
        <f t="shared" ca="1" si="9"/>
        <v>56.846100471530391</v>
      </c>
      <c r="U39" s="649">
        <f t="shared" si="9"/>
        <v>5.0104781088548105</v>
      </c>
      <c r="V39" s="642">
        <f t="shared" ca="1" si="9"/>
        <v>13.728080416856839</v>
      </c>
      <c r="W39" s="648">
        <f t="shared" ca="1" si="9"/>
        <v>8.0604853223228137</v>
      </c>
      <c r="X39" s="649">
        <f t="shared" ref="X39:AR39" si="10">0.86*X38/1000</f>
        <v>0</v>
      </c>
      <c r="Y39" s="642">
        <f t="shared" ca="1" si="10"/>
        <v>0</v>
      </c>
      <c r="Z39" s="648">
        <f t="shared" ca="1" si="10"/>
        <v>0</v>
      </c>
      <c r="AA39" s="332">
        <f t="shared" si="10"/>
        <v>0</v>
      </c>
      <c r="AB39" s="642">
        <f t="shared" ca="1" si="10"/>
        <v>0</v>
      </c>
      <c r="AC39" s="648">
        <f t="shared" ca="1" si="10"/>
        <v>0</v>
      </c>
      <c r="AD39" s="332">
        <f t="shared" si="10"/>
        <v>0</v>
      </c>
      <c r="AE39" s="642">
        <f t="shared" ca="1" si="10"/>
        <v>0</v>
      </c>
      <c r="AF39" s="648">
        <f t="shared" ca="1" si="10"/>
        <v>0</v>
      </c>
      <c r="AG39" s="332">
        <f t="shared" si="10"/>
        <v>5.596810653508034</v>
      </c>
      <c r="AH39" s="642">
        <f t="shared" ca="1" si="10"/>
        <v>16.398475342769625</v>
      </c>
      <c r="AI39" s="648">
        <f t="shared" ca="1" si="10"/>
        <v>10.066904072927079</v>
      </c>
      <c r="AJ39" s="644">
        <f t="shared" si="10"/>
        <v>44.995897517653582</v>
      </c>
      <c r="AK39" s="642">
        <f t="shared" ca="1" si="10"/>
        <v>66.759601857086253</v>
      </c>
      <c r="AL39" s="648">
        <f t="shared" ca="1" si="10"/>
        <v>68.588463102299144</v>
      </c>
      <c r="AM39" s="650">
        <f t="shared" si="10"/>
        <v>62.979495705409086</v>
      </c>
      <c r="AN39" s="642">
        <f t="shared" ca="1" si="10"/>
        <v>68.098879568859985</v>
      </c>
      <c r="AO39" s="648">
        <f t="shared" ca="1" si="10"/>
        <v>78.856389208231178</v>
      </c>
      <c r="AP39" s="644">
        <f t="shared" si="10"/>
        <v>79.569016514268782</v>
      </c>
      <c r="AQ39" s="642">
        <f t="shared" ca="1" si="10"/>
        <v>81.495930790769847</v>
      </c>
      <c r="AR39" s="648">
        <f t="shared" ca="1" si="10"/>
        <v>90.875853036644813</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1164</v>
      </c>
      <c r="C40" s="651"/>
      <c r="D40" s="652"/>
      <c r="E40" s="552"/>
      <c r="F40" s="627"/>
      <c r="G40" s="324" t="s">
        <v>868</v>
      </c>
      <c r="H40" s="653" t="s">
        <v>1164</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1180</v>
      </c>
      <c r="B41" s="290" t="s">
        <v>837</v>
      </c>
      <c r="C41" s="301">
        <f>IF(C136=0,0,B136/C136*D136)*0.024*$D$149</f>
        <v>270090.11274545453</v>
      </c>
      <c r="D41" s="668">
        <f ca="1">C41*($D$38/$C$38)</f>
        <v>313481.44860847748</v>
      </c>
      <c r="E41" s="669">
        <f ca="1">C41*($E$38/$C$38)</f>
        <v>319759.68913370778</v>
      </c>
      <c r="F41" s="50"/>
      <c r="G41" s="302" t="s">
        <v>1180</v>
      </c>
      <c r="H41" s="294" t="s">
        <v>837</v>
      </c>
      <c r="I41" s="303">
        <f>IF($C136=0,0,$B136/$C136*$D136)*0.024*G$149</f>
        <v>49470.62300378181</v>
      </c>
      <c r="J41" s="572">
        <f ca="1">I41*($J$38/$I$38)</f>
        <v>50032.796695860685</v>
      </c>
      <c r="K41" s="670">
        <f ca="1">I41*($K$38/$I$38)</f>
        <v>53582.694191848488</v>
      </c>
      <c r="L41" s="303">
        <f>IF($C136=0,0,$B136/$C136*$D136)*0.024*H$149</f>
        <v>42574.204438690904</v>
      </c>
      <c r="M41" s="671">
        <f ca="1">L41*($M$38/$L$38)</f>
        <v>44256.001200741681</v>
      </c>
      <c r="N41" s="672">
        <f ca="1">L41*($N$38/$L$38)</f>
        <v>44709.269831587248</v>
      </c>
      <c r="O41" s="303">
        <f>IF($C136=0,0,$B136/$C136*$D136)*0.024*I$149</f>
        <v>35753.105120727276</v>
      </c>
      <c r="P41" s="673">
        <f ca="1">O41*($P$38/$O$38)</f>
        <v>43559.918423109804</v>
      </c>
      <c r="Q41" s="674">
        <f ca="1">O41*($Q$38/$O$38)</f>
        <v>38259.508226583479</v>
      </c>
      <c r="R41" s="303">
        <f>IF($C136=0,0,$B136/$C136*$D136)*0.024*J$149</f>
        <v>23301.892080000001</v>
      </c>
      <c r="S41" s="673">
        <f ca="1">R41*($S$38/$R$38)</f>
        <v>33973.315742327984</v>
      </c>
      <c r="T41" s="674">
        <f ca="1">R41*($T$38/$R$38)</f>
        <v>32632.376807825651</v>
      </c>
      <c r="U41" s="303">
        <f>IF($C136=0,0,$B136/$C136*$D136)*0.024*K$149</f>
        <v>2876.2537496727273</v>
      </c>
      <c r="V41" s="673">
        <f ca="1">IFERROR(U41*($V$38/$U$38),0)</f>
        <v>7880.5738528249885</v>
      </c>
      <c r="W41" s="674">
        <f ca="1">IFERROR(U41*($W$38/$U$38),0)</f>
        <v>4627.1035675299818</v>
      </c>
      <c r="X41" s="303">
        <f>IF($C136=0,0,$B136/$C136*$D136)*0.024*L$149</f>
        <v>0</v>
      </c>
      <c r="Y41" s="673">
        <f ca="1">IFERROR(X41*($Y$38/$X$38),0)</f>
        <v>0</v>
      </c>
      <c r="Z41" s="674">
        <f ca="1">IFERROR(X41*($Z$38/$X$38),0)</f>
        <v>0</v>
      </c>
      <c r="AA41" s="303">
        <f>IF($C136=0,0,$B136/$C136*$D136)*0.024*M$149</f>
        <v>0</v>
      </c>
      <c r="AB41" s="673">
        <f ca="1">IFERROR(AA41*($AB$38/$AA$38),0)</f>
        <v>0</v>
      </c>
      <c r="AC41" s="674">
        <f ca="1">IFERROR(AA41*($AC$38/$AA$38),0)</f>
        <v>0</v>
      </c>
      <c r="AD41" s="303">
        <f>IF($C136=0,0,$B136/$C136*$D136)*0.024*N$149</f>
        <v>0</v>
      </c>
      <c r="AE41" s="673">
        <f ca="1">IFERROR(AD41*($AE$38/$AD$38),0)</f>
        <v>0</v>
      </c>
      <c r="AF41" s="674">
        <f ca="1">IFERROR(AD41*($AF$35/$AD$35),0)</f>
        <v>0</v>
      </c>
      <c r="AG41" s="303">
        <f>IF($C136=0,0,$B136/$C136*$D136)*0.024*O$149</f>
        <v>3212.8366352727276</v>
      </c>
      <c r="AH41" s="673">
        <f ca="1">IFERROR(AG41*($AH$38/$AG$38),0)</f>
        <v>9413.5080862247578</v>
      </c>
      <c r="AI41" s="674">
        <f ca="1">IFERROR(AG41*($AI$35/$AG$35),0)</f>
        <v>14845.592842312302</v>
      </c>
      <c r="AJ41" s="303">
        <f>IF($C136=0,0,$B136/$C136*$D136)*0.024*P$149</f>
        <v>25829.794311709087</v>
      </c>
      <c r="AK41" s="673">
        <f ca="1">AJ41*($AK$38/$AJ$38)</f>
        <v>38323.20010115562</v>
      </c>
      <c r="AL41" s="674">
        <f ca="1">IFERROR(AJ41*($AL$38/$AJ$38),0)</f>
        <v>39373.05380770679</v>
      </c>
      <c r="AM41" s="303">
        <f>IF($C136=0,0,$B136/$C136*$D136)*0.024*Q$149</f>
        <v>36153.23862109091</v>
      </c>
      <c r="AN41" s="673">
        <f ca="1">AM41*($AN$38/$AM$38)</f>
        <v>39092.009475561346</v>
      </c>
      <c r="AO41" s="674">
        <f ca="1">AM41*($AO$38/$AM$38)</f>
        <v>45267.333818901076</v>
      </c>
      <c r="AP41" s="303">
        <f>IF($C136=0,0,$B136/$C136*$D136)*0.024*R$149</f>
        <v>45676.415929745461</v>
      </c>
      <c r="AQ41" s="673">
        <f ca="1">AP41*($AQ$38/$AP$38)</f>
        <v>46782.556759557585</v>
      </c>
      <c r="AR41" s="674">
        <f ca="1">AP41*($AR$38/$AP$38)</f>
        <v>52167.080141399638</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1167</v>
      </c>
      <c r="C42" s="520">
        <f>0.86*C41/1000</f>
        <v>232.27749696109089</v>
      </c>
      <c r="D42" s="339">
        <f ca="1">0.86*D41/1000</f>
        <v>269.59404580329061</v>
      </c>
      <c r="E42" s="638">
        <f ca="1">0.86*E41/1000</f>
        <v>274.99333265498871</v>
      </c>
      <c r="F42" s="50"/>
      <c r="G42" s="341" t="s">
        <v>868</v>
      </c>
      <c r="H42" s="342" t="s">
        <v>1167</v>
      </c>
      <c r="I42" s="650">
        <f t="shared" ref="I42:W42" si="11">0.86*I41/1000</f>
        <v>42.544735783252356</v>
      </c>
      <c r="J42" s="642">
        <f t="shared" ca="1" si="11"/>
        <v>43.028205158440187</v>
      </c>
      <c r="K42" s="675">
        <f t="shared" ca="1" si="11"/>
        <v>46.0811170049897</v>
      </c>
      <c r="L42" s="650">
        <f>0.86*L41/1000</f>
        <v>36.613815817274173</v>
      </c>
      <c r="M42" s="645">
        <f t="shared" ca="1" si="11"/>
        <v>38.060161032637843</v>
      </c>
      <c r="N42" s="645">
        <f t="shared" ca="1" si="11"/>
        <v>38.449972055165034</v>
      </c>
      <c r="O42" s="644">
        <f t="shared" si="11"/>
        <v>30.747670403825456</v>
      </c>
      <c r="P42" s="676">
        <f t="shared" ca="1" si="11"/>
        <v>37.46152984387443</v>
      </c>
      <c r="Q42" s="676">
        <f t="shared" ca="1" si="11"/>
        <v>32.903177074861794</v>
      </c>
      <c r="R42" s="650">
        <f t="shared" si="11"/>
        <v>20.039627188800001</v>
      </c>
      <c r="S42" s="642">
        <f t="shared" ca="1" si="11"/>
        <v>29.217051538402064</v>
      </c>
      <c r="T42" s="648">
        <f t="shared" ca="1" si="11"/>
        <v>28.063844054730058</v>
      </c>
      <c r="U42" s="650">
        <f t="shared" si="11"/>
        <v>2.4735782247185454</v>
      </c>
      <c r="V42" s="642">
        <f t="shared" ca="1" si="11"/>
        <v>6.7772935134294903</v>
      </c>
      <c r="W42" s="648">
        <f t="shared" ca="1" si="11"/>
        <v>3.9793090680757843</v>
      </c>
      <c r="X42" s="650">
        <f t="shared" ref="X42:AR42" si="12">0.86*X41/1000</f>
        <v>0</v>
      </c>
      <c r="Y42" s="642">
        <f t="shared" ca="1" si="12"/>
        <v>0</v>
      </c>
      <c r="Z42" s="648">
        <f t="shared" ca="1" si="12"/>
        <v>0</v>
      </c>
      <c r="AA42" s="650">
        <f t="shared" si="12"/>
        <v>0</v>
      </c>
      <c r="AB42" s="642">
        <f t="shared" ca="1" si="12"/>
        <v>0</v>
      </c>
      <c r="AC42" s="648">
        <f t="shared" ca="1" si="12"/>
        <v>0</v>
      </c>
      <c r="AD42" s="650">
        <f t="shared" si="12"/>
        <v>0</v>
      </c>
      <c r="AE42" s="642">
        <f t="shared" ca="1" si="12"/>
        <v>0</v>
      </c>
      <c r="AF42" s="648">
        <f t="shared" ca="1" si="12"/>
        <v>0</v>
      </c>
      <c r="AG42" s="650">
        <f t="shared" si="12"/>
        <v>2.7630395063345459</v>
      </c>
      <c r="AH42" s="642">
        <f t="shared" ca="1" si="12"/>
        <v>8.0956169541532912</v>
      </c>
      <c r="AI42" s="648">
        <f t="shared" ca="1" si="12"/>
        <v>12.767209844388582</v>
      </c>
      <c r="AJ42" s="650">
        <f t="shared" si="12"/>
        <v>22.213623108069815</v>
      </c>
      <c r="AK42" s="642">
        <f t="shared" ca="1" si="12"/>
        <v>32.957952086993835</v>
      </c>
      <c r="AL42" s="648">
        <f t="shared" ca="1" si="12"/>
        <v>33.86082627462784</v>
      </c>
      <c r="AM42" s="650">
        <f t="shared" si="12"/>
        <v>31.091785214138181</v>
      </c>
      <c r="AN42" s="642">
        <f t="shared" ca="1" si="12"/>
        <v>33.61912814898276</v>
      </c>
      <c r="AO42" s="648">
        <f t="shared" ca="1" si="12"/>
        <v>38.929907084254928</v>
      </c>
      <c r="AP42" s="650">
        <f t="shared" si="12"/>
        <v>39.281717699581094</v>
      </c>
      <c r="AQ42" s="642">
        <f t="shared" ca="1" si="12"/>
        <v>40.232998813219524</v>
      </c>
      <c r="AR42" s="648">
        <f t="shared" ca="1" si="12"/>
        <v>44.863688921603689</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1164</v>
      </c>
      <c r="C43" s="651"/>
      <c r="D43" s="652"/>
      <c r="E43" s="552"/>
      <c r="F43" s="50"/>
      <c r="G43" s="324" t="s">
        <v>868</v>
      </c>
      <c r="H43" s="350" t="s">
        <v>1164</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1182</v>
      </c>
      <c r="B44" s="290" t="s">
        <v>837</v>
      </c>
      <c r="C44" s="301">
        <f>IF(C137=0,0,B137/C137*D137)*0.024*$D$149</f>
        <v>142503.87096774194</v>
      </c>
      <c r="D44" s="668">
        <f ca="1">C44*($D$38/$C$38)</f>
        <v>165397.83500103379</v>
      </c>
      <c r="E44" s="669">
        <f ca="1">C44*($E$38/$C$38)</f>
        <v>168710.3352944268</v>
      </c>
      <c r="F44" s="285">
        <f>C44</f>
        <v>142503.87096774194</v>
      </c>
      <c r="G44" s="302" t="s">
        <v>1182</v>
      </c>
      <c r="H44" s="294" t="s">
        <v>837</v>
      </c>
      <c r="I44" s="303">
        <f>IF($C137=0,0,$B137/$C137*$D137)*0.024*G$149</f>
        <v>26101.493333333332</v>
      </c>
      <c r="J44" s="572">
        <f ca="1">I44*($J$38/$I$38)</f>
        <v>26398.105180628045</v>
      </c>
      <c r="K44" s="670">
        <f ca="1">I44*($K$38/$I$38)</f>
        <v>28271.087977276053</v>
      </c>
      <c r="L44" s="303">
        <f>IF($C137=0,0,$B137/$C137*$D137)*0.024*H$149</f>
        <v>22462.83240143369</v>
      </c>
      <c r="M44" s="671">
        <f ca="1">L44*($M$38/$L$38)</f>
        <v>23350.175319458682</v>
      </c>
      <c r="N44" s="672">
        <f ca="1">L44*($N$38/$L$38)</f>
        <v>23589.327111529707</v>
      </c>
      <c r="O44" s="303">
        <f>IF($C137=0,0,$B137/$C137*$D137)*0.024*I$149</f>
        <v>18863.911111111112</v>
      </c>
      <c r="P44" s="673">
        <f ca="1">O44*($P$38/$O$38)</f>
        <v>22982.910893085522</v>
      </c>
      <c r="Q44" s="674">
        <f ca="1">O44*($Q$38/$O$38)</f>
        <v>20186.329548274327</v>
      </c>
      <c r="R44" s="303">
        <f>IF($C137=0,0,$B137/$C137*$D137)*0.024*J$149</f>
        <v>12294.451612903227</v>
      </c>
      <c r="S44" s="673">
        <f ca="1">R44*($S$38/$R$38)</f>
        <v>17924.865718626868</v>
      </c>
      <c r="T44" s="674">
        <f ca="1">R44*($T$38/$R$38)</f>
        <v>17217.364851766059</v>
      </c>
      <c r="U44" s="303">
        <f>IF($C137=0,0,$B137/$C137*$D137)*0.024*K$149</f>
        <v>1517.5575627240144</v>
      </c>
      <c r="V44" s="673">
        <f ca="1">IFERROR(U44*($V$38/$U$38),0)</f>
        <v>4157.9170302065522</v>
      </c>
      <c r="W44" s="674">
        <f ca="1">IFERROR(U44*($W$38/$U$38),0)</f>
        <v>2441.3339793859891</v>
      </c>
      <c r="X44" s="303">
        <f>IF($C137=0,0,$B137/$C137*$D137)*0.024*L$149</f>
        <v>0</v>
      </c>
      <c r="Y44" s="673">
        <f ca="1">IFERROR(X44*($Y$38/$X$38),0)</f>
        <v>0</v>
      </c>
      <c r="Z44" s="674">
        <f ca="1">IFERROR(X44*($Z$38/$X$38),0)</f>
        <v>0</v>
      </c>
      <c r="AA44" s="303">
        <f>IF($C137=0,0,$B137/$C137*$D137)*0.024*M$149</f>
        <v>0</v>
      </c>
      <c r="AB44" s="673">
        <f ca="1">IFERROR(AA44*($AB$38/$AA$38),0)</f>
        <v>0</v>
      </c>
      <c r="AC44" s="674">
        <f ca="1">IFERROR(AA44*($AC$38/$AA$38),0)</f>
        <v>0</v>
      </c>
      <c r="AD44" s="303">
        <f>IF($C137=0,0,$B137/$C137*$D137)*0.024*N$149</f>
        <v>0</v>
      </c>
      <c r="AE44" s="673">
        <f ca="1">IFERROR(AD44*($AE$38/$AD$38),0)</f>
        <v>0</v>
      </c>
      <c r="AF44" s="674">
        <f ca="1">IFERROR(AD44*($AF$35/$AD$35),)</f>
        <v>0</v>
      </c>
      <c r="AG44" s="303">
        <f>IF($C137=0,0,$B137/$C137*$D137)*0.024*O$149</f>
        <v>1695.1440860215055</v>
      </c>
      <c r="AH44" s="673">
        <f ca="1">IFERROR(AG44*($AH$38/$AG$38),0)</f>
        <v>4966.7176929850211</v>
      </c>
      <c r="AI44" s="674">
        <f ca="1">IFERROR(AG44*($AI$35/$AG$35),0)</f>
        <v>7832.772645158997</v>
      </c>
      <c r="AJ44" s="303">
        <f>IF($C137=0,0,$B137/$C137*$D137)*0.024*P$149</f>
        <v>13628.213333333333</v>
      </c>
      <c r="AK44" s="673">
        <f ca="1">AJ44*($AK$38/$AJ$38)</f>
        <v>20219.934401793256</v>
      </c>
      <c r="AL44" s="674">
        <f ca="1">IFERROR(AJ44*($AL$38/$AJ$38),0)</f>
        <v>20773.854038512323</v>
      </c>
      <c r="AM44" s="303">
        <f>IF($C137=0,0,$B137/$C137*$D137)*0.024*Q$149</f>
        <v>19075.027956989248</v>
      </c>
      <c r="AN44" s="673">
        <f ca="1">AM44*($AN$38/$AM$38)</f>
        <v>20625.57054587661</v>
      </c>
      <c r="AO44" s="674">
        <f ca="1">AM44*($AO$38/$AM$38)</f>
        <v>23883.770612743181</v>
      </c>
      <c r="AP44" s="303">
        <f>IF($C137=0,0,$B137/$C137*$D137)*0.024*R$149</f>
        <v>24099.608888888892</v>
      </c>
      <c r="AQ44" s="673">
        <f ca="1">AP44*($AQ$38/$AP$38)</f>
        <v>24683.226513693451</v>
      </c>
      <c r="AR44" s="674">
        <f ca="1">AP44*($AR$38/$AP$38)</f>
        <v>27524.187322769656</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1167</v>
      </c>
      <c r="C45" s="520">
        <f>0.86*C44/1000</f>
        <v>122.55332903225808</v>
      </c>
      <c r="D45" s="339">
        <f ca="1">0.86*D44/1000</f>
        <v>142.24213810088904</v>
      </c>
      <c r="E45" s="638">
        <f ca="1">0.86*E44/1000</f>
        <v>145.09088835320702</v>
      </c>
      <c r="F45" s="50"/>
      <c r="G45" s="341" t="s">
        <v>868</v>
      </c>
      <c r="H45" s="342" t="s">
        <v>1167</v>
      </c>
      <c r="I45" s="650">
        <f t="shared" ref="I45:O45" si="13">0.86*I44/1000</f>
        <v>22.447284266666667</v>
      </c>
      <c r="J45" s="642">
        <f t="shared" ca="1" si="13"/>
        <v>22.70237045534012</v>
      </c>
      <c r="K45" s="675">
        <f t="shared" ca="1" si="13"/>
        <v>24.313135660457405</v>
      </c>
      <c r="L45" s="650">
        <f>0.86*L44/1000</f>
        <v>19.318035865232975</v>
      </c>
      <c r="M45" s="645">
        <f t="shared" ca="1" si="13"/>
        <v>20.081150774734464</v>
      </c>
      <c r="N45" s="645">
        <f t="shared" ca="1" si="13"/>
        <v>20.286821315915546</v>
      </c>
      <c r="O45" s="650">
        <f t="shared" si="13"/>
        <v>16.222963555555555</v>
      </c>
      <c r="P45" s="679">
        <f ca="1">O45*($P$35/$O$35)</f>
        <v>20.91243297986065</v>
      </c>
      <c r="Q45" s="680">
        <f ca="1">O45*($Q$35/$O$35)</f>
        <v>17.728533149016812</v>
      </c>
      <c r="R45" s="650">
        <f t="shared" ref="R45:AR45" si="14">0.86*R44/1000</f>
        <v>10.573228387096774</v>
      </c>
      <c r="S45" s="642">
        <f t="shared" ca="1" si="14"/>
        <v>15.415384518019108</v>
      </c>
      <c r="T45" s="648">
        <f t="shared" ca="1" si="14"/>
        <v>14.806933772518811</v>
      </c>
      <c r="U45" s="650">
        <f t="shared" si="14"/>
        <v>1.3050995039426523</v>
      </c>
      <c r="V45" s="642">
        <f t="shared" ca="1" si="14"/>
        <v>3.5758086459776348</v>
      </c>
      <c r="W45" s="648">
        <f t="shared" ca="1" si="14"/>
        <v>2.0995472222719505</v>
      </c>
      <c r="X45" s="650">
        <f t="shared" si="14"/>
        <v>0</v>
      </c>
      <c r="Y45" s="642">
        <f t="shared" ca="1" si="14"/>
        <v>0</v>
      </c>
      <c r="Z45" s="648">
        <f t="shared" ca="1" si="14"/>
        <v>0</v>
      </c>
      <c r="AA45" s="650">
        <f t="shared" si="14"/>
        <v>0</v>
      </c>
      <c r="AB45" s="642">
        <f t="shared" ca="1" si="14"/>
        <v>0</v>
      </c>
      <c r="AC45" s="648">
        <f t="shared" ca="1" si="14"/>
        <v>0</v>
      </c>
      <c r="AD45" s="650">
        <f t="shared" si="14"/>
        <v>0</v>
      </c>
      <c r="AE45" s="642">
        <f t="shared" ca="1" si="14"/>
        <v>0</v>
      </c>
      <c r="AF45" s="648">
        <f t="shared" ca="1" si="14"/>
        <v>0</v>
      </c>
      <c r="AG45" s="650">
        <f t="shared" si="14"/>
        <v>1.4578239139784945</v>
      </c>
      <c r="AH45" s="642">
        <f t="shared" ca="1" si="14"/>
        <v>4.2713772159671182</v>
      </c>
      <c r="AI45" s="648">
        <f t="shared" ca="1" si="14"/>
        <v>6.7361844748367377</v>
      </c>
      <c r="AJ45" s="650">
        <f t="shared" si="14"/>
        <v>11.720263466666667</v>
      </c>
      <c r="AK45" s="642">
        <f t="shared" ca="1" si="14"/>
        <v>17.3891435855422</v>
      </c>
      <c r="AL45" s="648">
        <f t="shared" ca="1" si="14"/>
        <v>17.865514473120598</v>
      </c>
      <c r="AM45" s="650">
        <f t="shared" si="14"/>
        <v>16.404524043010753</v>
      </c>
      <c r="AN45" s="642">
        <f t="shared" ca="1" si="14"/>
        <v>17.737990669453882</v>
      </c>
      <c r="AO45" s="648">
        <f t="shared" ca="1" si="14"/>
        <v>20.540042726959136</v>
      </c>
      <c r="AP45" s="650">
        <f t="shared" si="14"/>
        <v>20.725663644444445</v>
      </c>
      <c r="AQ45" s="642">
        <f t="shared" ca="1" si="14"/>
        <v>21.22757480177637</v>
      </c>
      <c r="AR45" s="648">
        <f t="shared" ca="1" si="14"/>
        <v>23.670801097581904</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1164</v>
      </c>
      <c r="C46" s="691">
        <f>(C44/C38)*100</f>
        <v>26.047404570757514</v>
      </c>
      <c r="D46" s="691">
        <f ca="1">(D44/D38)*100</f>
        <v>26.047404570757514</v>
      </c>
      <c r="E46" s="691">
        <f ca="1">(E44/E38)*100</f>
        <v>26.047404570757514</v>
      </c>
      <c r="F46" s="50"/>
      <c r="G46" s="324" t="s">
        <v>868</v>
      </c>
      <c r="H46" s="350" t="s">
        <v>1164</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1184</v>
      </c>
      <c r="B47" s="290" t="s">
        <v>837</v>
      </c>
      <c r="C47" s="301">
        <f>IF(C138=0,0,B138/C138*D138)*0.024*$D$149</f>
        <v>5685.677419354839</v>
      </c>
      <c r="D47" s="668">
        <f ca="1">C47*($D$35/$C$35)</f>
        <v>6881.2858852873251</v>
      </c>
      <c r="E47" s="669">
        <f ca="1">C47*($E$38/$C$38)</f>
        <v>6731.2735947533938</v>
      </c>
      <c r="F47" s="50"/>
      <c r="G47" s="302" t="s">
        <v>1184</v>
      </c>
      <c r="H47" s="294" t="s">
        <v>837</v>
      </c>
      <c r="I47" s="303">
        <f>IF($C138=0,0,$B138/$C138*$D138)*0.024*G$149</f>
        <v>1041.4079999999999</v>
      </c>
      <c r="J47" s="572">
        <f ca="1">I47*($J$38/$I$38)</f>
        <v>1053.2423401552819</v>
      </c>
      <c r="K47" s="670">
        <f ca="1">I47*($K$38/$I$38)</f>
        <v>1127.9713697698687</v>
      </c>
      <c r="L47" s="303">
        <f>IF($C138=0,0,$B138/$C138*$D138)*0.024*H$149</f>
        <v>896.23122580645145</v>
      </c>
      <c r="M47" s="671">
        <f ca="1">L47*($M$38/$L$38)</f>
        <v>931.63479455148001</v>
      </c>
      <c r="N47" s="670">
        <f ca="1">L47*($N$38/$L$38)</f>
        <v>941.17657004671742</v>
      </c>
      <c r="O47" s="303">
        <f>IF($C138=0,0,$B138/$C138*$D138)*0.024*I$149</f>
        <v>752.64</v>
      </c>
      <c r="P47" s="673">
        <f ca="1">O47*($P$38/$O$38)</f>
        <v>916.98152905222298</v>
      </c>
      <c r="Q47" s="674">
        <f ca="1">O47*($Q$38/$O$38)</f>
        <v>805.40238881131449</v>
      </c>
      <c r="R47" s="303">
        <f>IF($C138=0,0,$B138/$C138*$D138)*0.024*J$149</f>
        <v>490.52903225806449</v>
      </c>
      <c r="S47" s="673">
        <f ca="1">R47*($S$38/$R$38)</f>
        <v>715.17358489464834</v>
      </c>
      <c r="T47" s="674">
        <f ca="1">R47*($T$38/$R$38)</f>
        <v>686.9454274729103</v>
      </c>
      <c r="U47" s="303">
        <f>IF($C138=0,0,$B138/$C138*$D138)*0.024*K$149</f>
        <v>60.548129032258068</v>
      </c>
      <c r="V47" s="673">
        <f ca="1">IFERROR(U47*($V$38/$U$38),0)</f>
        <v>165.8942652550663</v>
      </c>
      <c r="W47" s="674">
        <f ca="1">IFERROR(U47*($W$38/$U$38),0)</f>
        <v>97.4053363283073</v>
      </c>
      <c r="X47" s="303">
        <f>IF($C138=0,0,$B138/$C138*$D138)*0.024*L$149</f>
        <v>0</v>
      </c>
      <c r="Y47" s="673">
        <f ca="1">IFERROR(X47*($Y$38/$X$38),0)</f>
        <v>0</v>
      </c>
      <c r="Z47" s="674">
        <f ca="1">IFERROR(X47*($Z$38/$X$38),0)</f>
        <v>0</v>
      </c>
      <c r="AA47" s="303">
        <f>IF($C138=0,0,$B138/$C138*$D138)*0.024*M$149</f>
        <v>0</v>
      </c>
      <c r="AB47" s="673">
        <f ca="1">IFERROR(AA47*($AB$38/$AA$38),0)</f>
        <v>0</v>
      </c>
      <c r="AC47" s="674">
        <f ca="1">IFERROR(AA47*($AC$38/$AA$38),0)</f>
        <v>0</v>
      </c>
      <c r="AD47" s="303">
        <f>IF($C138=0,0,$B138/$C138*$D138)*0.024*N$149</f>
        <v>0</v>
      </c>
      <c r="AE47" s="673">
        <f ca="1">IFERROR(AD47*($AE$38/$AD$38),0)</f>
        <v>0</v>
      </c>
      <c r="AF47" s="674">
        <f ca="1">IFERROR(AD47*($AF$35/$AD$35),)</f>
        <v>0</v>
      </c>
      <c r="AG47" s="303">
        <f>IF($C138=0,0,$B138/$C138*$D138)*0.024*O$149</f>
        <v>67.633548387096781</v>
      </c>
      <c r="AH47" s="682">
        <f ca="1">IFERROR(AG47*($AH$35/$AG$35),0)</f>
        <v>659.37262341267569</v>
      </c>
      <c r="AI47" s="683">
        <f ca="1">IFERROR(AG47*($AI$35/$AG$35),0)</f>
        <v>312.51514963829936</v>
      </c>
      <c r="AJ47" s="303">
        <f>IF($C138=0,0,$B138/$C138*$D138)*0.024*P$149</f>
        <v>543.74399999999991</v>
      </c>
      <c r="AK47" s="673">
        <f ca="1">AJ47*($AK$38/$AJ$38)</f>
        <v>806.74316892862487</v>
      </c>
      <c r="AL47" s="674">
        <f ca="1">IFERROR(AJ47*($AL$38/$AJ$38),)</f>
        <v>828.84367994803256</v>
      </c>
      <c r="AM47" s="303">
        <f>IF($C138=0,0,$B138/$C138*$D138)*0.024*Q$149</f>
        <v>761.06322580645156</v>
      </c>
      <c r="AN47" s="673">
        <f ca="1">AM47*($AN$38/$AM$38)</f>
        <v>822.92740483201976</v>
      </c>
      <c r="AO47" s="674">
        <f ca="1">AM47*($AO$38/$AM$38)</f>
        <v>952.92439664789219</v>
      </c>
      <c r="AP47" s="303">
        <f>IF($C138=0,0,$B138/$C138*$D138)*0.024*R$149</f>
        <v>961.53600000000006</v>
      </c>
      <c r="AQ47" s="673">
        <f ca="1">AP47*($AQ$38/$AP$38)</f>
        <v>984.82141343020737</v>
      </c>
      <c r="AR47" s="674">
        <f ca="1">AP47*($AR$38/$AP$38)</f>
        <v>1098.1712235914561</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1167</v>
      </c>
      <c r="C48" s="520">
        <f>0.86*C47/1000</f>
        <v>4.8896825806451618</v>
      </c>
      <c r="D48" s="339">
        <f ca="1">0.86*D47/1000</f>
        <v>5.9179058613470996</v>
      </c>
      <c r="E48" s="638">
        <f ca="1">0.86*E47/1000</f>
        <v>5.7888952914879184</v>
      </c>
      <c r="F48" s="50"/>
      <c r="G48" s="341" t="s">
        <v>868</v>
      </c>
      <c r="H48" s="342" t="s">
        <v>1167</v>
      </c>
      <c r="I48" s="685">
        <f t="shared" ref="I48:O48" si="15">0.86*I47/1000</f>
        <v>0.89561088</v>
      </c>
      <c r="J48" s="642">
        <f t="shared" ca="1" si="15"/>
        <v>0.90578841253354248</v>
      </c>
      <c r="K48" s="686">
        <f t="shared" ca="1" si="15"/>
        <v>0.97005537800208708</v>
      </c>
      <c r="L48" s="685">
        <f>0.86*L47/1000</f>
        <v>0.77075885419354828</v>
      </c>
      <c r="M48" s="645">
        <f t="shared" ca="1" si="15"/>
        <v>0.80120592331427276</v>
      </c>
      <c r="N48" s="643">
        <f t="shared" ca="1" si="15"/>
        <v>0.80941185024017692</v>
      </c>
      <c r="O48" s="685">
        <f t="shared" si="15"/>
        <v>0.64727040000000002</v>
      </c>
      <c r="P48" s="679">
        <f ca="1">O48*($P$35/$O$35)</f>
        <v>0.83437275892863549</v>
      </c>
      <c r="Q48" s="680">
        <f ca="1">O48*($Q$35/$O$35)</f>
        <v>0.70734022815749376</v>
      </c>
      <c r="R48" s="685">
        <f t="shared" ref="R48:AR48" si="16">0.86*R47/1000</f>
        <v>0.42185496774193548</v>
      </c>
      <c r="S48" s="687">
        <f t="shared" ca="1" si="16"/>
        <v>0.61504928300939754</v>
      </c>
      <c r="T48" s="688">
        <f t="shared" ca="1" si="16"/>
        <v>0.5907730676267029</v>
      </c>
      <c r="U48" s="685">
        <f t="shared" si="16"/>
        <v>5.2071390967741944E-2</v>
      </c>
      <c r="V48" s="642">
        <f t="shared" ca="1" si="16"/>
        <v>0.14266906811935701</v>
      </c>
      <c r="W48" s="648">
        <f t="shared" ca="1" si="16"/>
        <v>8.3768589242344274E-2</v>
      </c>
      <c r="X48" s="685">
        <f t="shared" si="16"/>
        <v>0</v>
      </c>
      <c r="Y48" s="642">
        <f t="shared" ca="1" si="16"/>
        <v>0</v>
      </c>
      <c r="Z48" s="648">
        <f t="shared" ca="1" si="16"/>
        <v>0</v>
      </c>
      <c r="AA48" s="685">
        <f t="shared" si="16"/>
        <v>0</v>
      </c>
      <c r="AB48" s="642">
        <f t="shared" ca="1" si="16"/>
        <v>0</v>
      </c>
      <c r="AC48" s="648">
        <f t="shared" ca="1" si="16"/>
        <v>0</v>
      </c>
      <c r="AD48" s="685">
        <f t="shared" si="16"/>
        <v>0</v>
      </c>
      <c r="AE48" s="642">
        <f t="shared" ca="1" si="16"/>
        <v>0</v>
      </c>
      <c r="AF48" s="648">
        <f t="shared" ca="1" si="16"/>
        <v>0</v>
      </c>
      <c r="AG48" s="685">
        <f t="shared" si="16"/>
        <v>5.8164851612903225E-2</v>
      </c>
      <c r="AH48" s="642">
        <f t="shared" ca="1" si="16"/>
        <v>0.56706045613490108</v>
      </c>
      <c r="AI48" s="648">
        <f t="shared" ca="1" si="16"/>
        <v>0.26876302868893742</v>
      </c>
      <c r="AJ48" s="685">
        <f t="shared" si="16"/>
        <v>0.4676198399999999</v>
      </c>
      <c r="AK48" s="642">
        <f t="shared" ca="1" si="16"/>
        <v>0.69379912527861731</v>
      </c>
      <c r="AL48" s="648">
        <f t="shared" ca="1" si="16"/>
        <v>0.71280556475530799</v>
      </c>
      <c r="AM48" s="685">
        <f t="shared" si="16"/>
        <v>0.6545143741935483</v>
      </c>
      <c r="AN48" s="642">
        <f t="shared" ca="1" si="16"/>
        <v>0.70771756815553699</v>
      </c>
      <c r="AO48" s="648">
        <f t="shared" ca="1" si="16"/>
        <v>0.81951498111718724</v>
      </c>
      <c r="AP48" s="685">
        <f t="shared" si="16"/>
        <v>0.82692096000000004</v>
      </c>
      <c r="AQ48" s="642">
        <f t="shared" ca="1" si="16"/>
        <v>0.8469464155499784</v>
      </c>
      <c r="AR48" s="648">
        <f t="shared" ca="1" si="16"/>
        <v>0.94442725228865221</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1164</v>
      </c>
      <c r="C49" s="651"/>
      <c r="D49" s="652"/>
      <c r="E49" s="552"/>
      <c r="F49" s="50"/>
      <c r="G49" s="324" t="s">
        <v>868</v>
      </c>
      <c r="H49" s="350" t="s">
        <v>1164</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1512</v>
      </c>
      <c r="B50" s="290" t="s">
        <v>837</v>
      </c>
      <c r="C50" s="301">
        <f>IF(C139=0,0,B139/C139*D139)*0.024*$D$149</f>
        <v>5690.8828125</v>
      </c>
      <c r="D50" s="668">
        <f ca="1">C50*($D$35/$C$35)</f>
        <v>6887.5858906754665</v>
      </c>
      <c r="E50" s="669">
        <f ca="1">C50*($E$38/$C$38)</f>
        <v>6737.4362597876525</v>
      </c>
      <c r="F50" s="50"/>
      <c r="G50" s="300" t="s">
        <v>1512</v>
      </c>
      <c r="H50" s="294" t="s">
        <v>837</v>
      </c>
      <c r="I50" s="303">
        <f>IF($C139=0,0,$B139/$C139*$D139)*0.024*G$149</f>
        <v>1042.3614375</v>
      </c>
      <c r="J50" s="572">
        <f ca="1">I50*($J$38/$I$38)</f>
        <v>1054.2066123172895</v>
      </c>
      <c r="K50" s="670">
        <f ca="1">I50*($K$38/$I$38)</f>
        <v>1129.0040584018602</v>
      </c>
      <c r="L50" s="303">
        <f>IF($C139=0,0,$B139/$C139*$D139)*0.024*H$149</f>
        <v>897.05174999999997</v>
      </c>
      <c r="M50" s="671">
        <f ca="1">L50*($M$38/$L$38)</f>
        <v>932.48773168028094</v>
      </c>
      <c r="N50" s="670">
        <f ca="1">L50*($N$38/$L$38)</f>
        <v>942.03824293189211</v>
      </c>
      <c r="O50" s="303">
        <f>IF($C139=0,0,$B139/$C139*$D139)*0.024*I$149</f>
        <v>753.32906250000008</v>
      </c>
      <c r="P50" s="673">
        <f ca="1">O50*($P$38/$O$38)</f>
        <v>917.82105071578417</v>
      </c>
      <c r="Q50" s="674">
        <f ca="1">O50*($Q$38/$O$38)</f>
        <v>806.13975672099298</v>
      </c>
      <c r="R50" s="303">
        <f>IF($C139=0,0,$B139/$C139*$D139)*0.024*J$149</f>
        <v>490.97812500000003</v>
      </c>
      <c r="S50" s="673">
        <f ca="1">R50*($S$38/$R$38)</f>
        <v>715.82834586714728</v>
      </c>
      <c r="T50" s="674">
        <f ca="1">R50*($T$38/$R$38)</f>
        <v>687.57434479542587</v>
      </c>
      <c r="U50" s="303">
        <f>IF($C139=0,0,$B139/$C139*$D139)*0.024*K$149</f>
        <v>60.603562500000002</v>
      </c>
      <c r="V50" s="673">
        <f ca="1">IFERROR(U50*($V$38/$U$38),0)</f>
        <v>166.04614599107865</v>
      </c>
      <c r="W50" s="674">
        <f ca="1">IFERROR(U50*($W$38/$U$38),0)</f>
        <v>97.494513577143024</v>
      </c>
      <c r="X50" s="303">
        <f>IF($C139=0,0,$B139/$C139*$D139)*0.024*L$149</f>
        <v>0</v>
      </c>
      <c r="Y50" s="673">
        <f ca="1">IFERROR(X50*($Y$38/$X$38),0)</f>
        <v>0</v>
      </c>
      <c r="Z50" s="674">
        <f ca="1">IFERROR(X50*($Z$38/$X$38),0)</f>
        <v>0</v>
      </c>
      <c r="AA50" s="303">
        <f>IF($C139=0,0,$B139/$C139*$D139)*0.024*M$149</f>
        <v>0</v>
      </c>
      <c r="AB50" s="673">
        <f ca="1">IFERROR(AA50*($AB$38/$AA$38),0)</f>
        <v>0</v>
      </c>
      <c r="AC50" s="674">
        <f ca="1">IFERROR(AA50*($AC$38/$AA$38),0)</f>
        <v>0</v>
      </c>
      <c r="AD50" s="303">
        <f>IF($C139=0,0,$B139/$C139*$D139)*0.024*N$149</f>
        <v>0</v>
      </c>
      <c r="AE50" s="673">
        <f ca="1">IFERROR(AD50*($AE$38/$AD$38),0)</f>
        <v>0</v>
      </c>
      <c r="AF50" s="674">
        <f ca="1">IFERROR(AD50*($AF$35/$AD$35),)</f>
        <v>0</v>
      </c>
      <c r="AG50" s="303">
        <f>IF($C139=0,0,$B139/$C139*$D139)*0.024*O$149</f>
        <v>67.695468750000003</v>
      </c>
      <c r="AH50" s="682">
        <f ca="1">IFERROR(AG50*($AH$35/$AG$35),0)</f>
        <v>659.97629707913006</v>
      </c>
      <c r="AI50" s="683">
        <f ca="1">IFERROR(AG50*($AI$35/$AG$35),0)</f>
        <v>312.80126580312935</v>
      </c>
      <c r="AJ50" s="303">
        <f>IF($C139=0,0,$B139/$C139*$D139)*0.024*P$149</f>
        <v>544.24181249999992</v>
      </c>
      <c r="AK50" s="673">
        <f ca="1">AJ50*($AK$38/$AJ$38)</f>
        <v>807.48176435916253</v>
      </c>
      <c r="AL50" s="674">
        <f ca="1">IFERROR(AJ50*($AL$38/$AJ$38),)</f>
        <v>829.60250900071935</v>
      </c>
      <c r="AM50" s="303">
        <f>IF($C139=0,0,$B139/$C139*$D139)*0.024*Q$149</f>
        <v>761.76</v>
      </c>
      <c r="AN50" s="673">
        <f ca="1">AM50*($AN$38/$AM$38)</f>
        <v>823.68081737306466</v>
      </c>
      <c r="AO50" s="674">
        <f ca="1">AM50*($AO$38/$AM$38)</f>
        <v>953.79682498954992</v>
      </c>
      <c r="AP50" s="303">
        <f>IF($C139=0,0,$B139/$C139*$D139)*0.024*R$149</f>
        <v>962.41631250000012</v>
      </c>
      <c r="AQ50" s="673">
        <f ca="1">AP50*($AQ$38/$AP$38)</f>
        <v>985.72304436291336</v>
      </c>
      <c r="AR50" s="674">
        <f ca="1">AP50*($AR$38/$AP$38)</f>
        <v>1099.1766293747735</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1167</v>
      </c>
      <c r="C51" s="520">
        <f>0.86*C50/1000</f>
        <v>4.8941592187499996</v>
      </c>
      <c r="D51" s="339">
        <f ca="1">0.86*D50/1000</f>
        <v>5.9233238659809011</v>
      </c>
      <c r="E51" s="638">
        <f ca="1">0.86*E50/1000</f>
        <v>5.794195183417381</v>
      </c>
      <c r="F51" s="50"/>
      <c r="G51" s="341" t="s">
        <v>868</v>
      </c>
      <c r="H51" s="342" t="s">
        <v>1167</v>
      </c>
      <c r="I51" s="685">
        <f t="shared" ref="I51:O51" si="17">0.86*I50/1000</f>
        <v>0.89643083624999997</v>
      </c>
      <c r="J51" s="642">
        <f t="shared" ca="1" si="17"/>
        <v>0.9066176865928689</v>
      </c>
      <c r="K51" s="686">
        <f t="shared" ca="1" si="17"/>
        <v>0.97094349022559978</v>
      </c>
      <c r="L51" s="685">
        <f t="shared" si="17"/>
        <v>0.77146450499999997</v>
      </c>
      <c r="M51" s="645">
        <f t="shared" ca="1" si="17"/>
        <v>0.80193944924504157</v>
      </c>
      <c r="N51" s="643">
        <f t="shared" ca="1" si="17"/>
        <v>0.81015288892142723</v>
      </c>
      <c r="O51" s="685">
        <f t="shared" si="17"/>
        <v>0.64786299375000012</v>
      </c>
      <c r="P51" s="679">
        <f ca="1">O51*($P$35/$O$35)</f>
        <v>0.83513665000431492</v>
      </c>
      <c r="Q51" s="680">
        <f ca="1">O51*($Q$35/$O$35)</f>
        <v>0.70798781747770634</v>
      </c>
      <c r="R51" s="685">
        <f>0.86*R50/1000</f>
        <v>0.4222411875</v>
      </c>
      <c r="S51" s="687">
        <f ca="1">0.86*S50/1000</f>
        <v>0.61561237744574671</v>
      </c>
      <c r="T51" s="688">
        <f ca="1">0.86*T50/1000</f>
        <v>0.59131393652406616</v>
      </c>
      <c r="U51" s="685">
        <f t="shared" ref="U51:AH51" si="18">0.86*U50/1000</f>
        <v>5.211906375E-2</v>
      </c>
      <c r="V51" s="642">
        <f t="shared" ca="1" si="18"/>
        <v>0.14279968555232764</v>
      </c>
      <c r="W51" s="648">
        <f t="shared" ca="1" si="18"/>
        <v>8.3845281676343003E-2</v>
      </c>
      <c r="X51" s="685">
        <f t="shared" si="18"/>
        <v>0</v>
      </c>
      <c r="Y51" s="642">
        <f t="shared" ca="1" si="18"/>
        <v>0</v>
      </c>
      <c r="Z51" s="648">
        <f t="shared" ca="1" si="18"/>
        <v>0</v>
      </c>
      <c r="AA51" s="685">
        <f t="shared" si="18"/>
        <v>0</v>
      </c>
      <c r="AB51" s="642">
        <f t="shared" ca="1" si="18"/>
        <v>0</v>
      </c>
      <c r="AC51" s="648">
        <f t="shared" ca="1" si="18"/>
        <v>0</v>
      </c>
      <c r="AD51" s="685">
        <f t="shared" si="18"/>
        <v>0</v>
      </c>
      <c r="AE51" s="642">
        <f t="shared" ca="1" si="18"/>
        <v>0</v>
      </c>
      <c r="AF51" s="648">
        <f t="shared" ca="1" si="18"/>
        <v>0</v>
      </c>
      <c r="AG51" s="685">
        <f t="shared" si="18"/>
        <v>5.8218103124999997E-2</v>
      </c>
      <c r="AH51" s="642">
        <f t="shared" ca="1" si="18"/>
        <v>0.56757961548805191</v>
      </c>
      <c r="AI51" s="648">
        <f ca="1">0.86*AI50/1000</f>
        <v>0.26900908859069123</v>
      </c>
      <c r="AJ51" s="685">
        <f t="shared" ref="AJ51:AR51" si="19">0.86*AJ50/1000</f>
        <v>0.46804795874999988</v>
      </c>
      <c r="AK51" s="642">
        <f t="shared" ca="1" si="19"/>
        <v>0.69443431734887973</v>
      </c>
      <c r="AL51" s="648">
        <f t="shared" ca="1" si="19"/>
        <v>0.7134581577406186</v>
      </c>
      <c r="AM51" s="685">
        <f t="shared" si="19"/>
        <v>0.65511360000000007</v>
      </c>
      <c r="AN51" s="642">
        <f t="shared" ca="1" si="19"/>
        <v>0.70836550294083556</v>
      </c>
      <c r="AO51" s="648">
        <f t="shared" ca="1" si="19"/>
        <v>0.82026526949101286</v>
      </c>
      <c r="AP51" s="685">
        <f t="shared" si="19"/>
        <v>0.82767802875000007</v>
      </c>
      <c r="AQ51" s="642">
        <f t="shared" ca="1" si="19"/>
        <v>0.84772181815210546</v>
      </c>
      <c r="AR51" s="648">
        <f t="shared" ca="1" si="19"/>
        <v>0.94529190126230511</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1164</v>
      </c>
      <c r="C52" s="651"/>
      <c r="D52" s="652"/>
      <c r="E52" s="552"/>
      <c r="F52" s="50"/>
      <c r="G52" s="324" t="s">
        <v>868</v>
      </c>
      <c r="H52" s="350" t="s">
        <v>1164</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1186</v>
      </c>
      <c r="B53" s="290" t="s">
        <v>837</v>
      </c>
      <c r="C53" s="301">
        <f>(IF(C140=0,0,B140/C140*D140)+IF(C141=0,0,B141/C141*D141)+IF(C142=0,0,B142/C142*D142))*0.024*$D$149</f>
        <v>63557.727562400418</v>
      </c>
      <c r="D53" s="668">
        <f ca="1">C53*($D$38/$C$38)</f>
        <v>73768.596354734764</v>
      </c>
      <c r="E53" s="669">
        <f ca="1">C53*($E$38/$C$38)</f>
        <v>75245.994756392931</v>
      </c>
      <c r="F53" s="50"/>
      <c r="G53" s="302" t="s">
        <v>1186</v>
      </c>
      <c r="H53" s="294" t="s">
        <v>837</v>
      </c>
      <c r="I53" s="303">
        <f>(IF(C140=0,0,B140/C140*D140)+IF(C141=0,0,B141/C141*D141)+IF(C142=0,0,B142/C142*D142))*0.024*G$149</f>
        <v>11641.449393520974</v>
      </c>
      <c r="J53" s="572">
        <f ca="1">I53*($J$38/$I$38)</f>
        <v>11773.74036115655</v>
      </c>
      <c r="K53" s="670">
        <f ca="1">I53*($K$38/$I$38)</f>
        <v>12609.103846442953</v>
      </c>
      <c r="L53" s="303">
        <f>(IF(C140=0,0,B140/C140*D140)+IF(C141=0,0,B141/C141*D141)+IF(C142=0,0,B142/C142*D142))*0.024*H$149</f>
        <v>10018.581055762079</v>
      </c>
      <c r="M53" s="671">
        <f ca="1">L53*($M$38/$L$38)</f>
        <v>10414.342230916573</v>
      </c>
      <c r="N53" s="670">
        <f ca="1">L53*($N$38/$L$38)</f>
        <v>10521.005610256989</v>
      </c>
      <c r="O53" s="303">
        <f>(IF(C140=0,0,B140/C140*D140)+IF(C141=0,0,B141/C141*D141)+IF(C142=0,0,B142/C142*D142))*0.024*I$149</f>
        <v>8413.4368773234182</v>
      </c>
      <c r="P53" s="673">
        <f ca="1">O53*($P$38/$O$38)</f>
        <v>10250.539716667183</v>
      </c>
      <c r="Q53" s="674">
        <f ca="1">O53*($Q$38/$O$38)</f>
        <v>9003.2447904834826</v>
      </c>
      <c r="R53" s="303">
        <f>(IF(C140=0,0,B140/C140*D140)+IF(C141=0,0,B141/C141*D141)+IF(C142=0,0,B142/C142*D142))*0.024*J$149</f>
        <v>5483.4117896972912</v>
      </c>
      <c r="S53" s="673">
        <f ca="1">R53*($S$38/$R$38)</f>
        <v>7994.6160353425621</v>
      </c>
      <c r="T53" s="674">
        <f ca="1">R53*($T$38/$R$38)</f>
        <v>7679.0656784243256</v>
      </c>
      <c r="U53" s="303">
        <f>(IF(C140=0,0,B140/C140*D140)+IF(C141=0,0,B141/C141*D141)+IF(C142=0,0,B142/C142*D142))*0.024*K$149</f>
        <v>676.84133404142324</v>
      </c>
      <c r="V53" s="673">
        <f ca="1">IFERROR(U53*($V$38/$U$38),0)</f>
        <v>1854.4602054547302</v>
      </c>
      <c r="W53" s="674">
        <f ca="1">IFERROR(U53*($W$38/$U$38),0)</f>
        <v>1088.8521055387318</v>
      </c>
      <c r="X53" s="303">
        <f>(IF(C140=0,0,B140/C140*D140)+IF(C141=0,0,B141/C141*D141)+IF(C142=0,0,B142/C142*D142))*0.024*L$149</f>
        <v>0</v>
      </c>
      <c r="Y53" s="673">
        <f ca="1">IFERROR(X53*($Y$38/$X$38),0)</f>
        <v>0</v>
      </c>
      <c r="Z53" s="674">
        <f ca="1">IFERROR(X53*($Z$38/$X$38),0)</f>
        <v>0</v>
      </c>
      <c r="AA53" s="303">
        <f>(IF(C140=0,0,B140/C140*D140)+IF(C141=0,0,B141/C141*D141)+IF(C142=0,0,B142/C142*D142))*0.024*M$149</f>
        <v>0</v>
      </c>
      <c r="AB53" s="673">
        <f ca="1">IFERROR(AA53*($AB$38/$AA$38),0)</f>
        <v>0</v>
      </c>
      <c r="AC53" s="674">
        <f ca="1">IFERROR(AA53*($AC$38/$AA$38),0)</f>
        <v>0</v>
      </c>
      <c r="AD53" s="303">
        <f>(IF(C140=0,0,B140/C140*D140)+IF(C141=0,0,B141/C141*D141)+IF(C142=0,0,B142/C142*D142))*0.024*N$149</f>
        <v>0</v>
      </c>
      <c r="AE53" s="673">
        <f ca="1">IFERROR(AD53*($AE$38/$AD$38),0)</f>
        <v>0</v>
      </c>
      <c r="AF53" s="674">
        <f ca="1">IFERROR(AD53*($AF$35/$AD$35),)</f>
        <v>0</v>
      </c>
      <c r="AG53" s="303">
        <f>(IF(C140=0,0,B140/C140*D140)+IF(C141=0,0,B141/C141*D141)+IF(C142=0,0,B142/C142*D142))*0.024*O$149</f>
        <v>756.0461710037174</v>
      </c>
      <c r="AH53" s="673">
        <f ca="1">IFERROR(AG53*($AH$38/$AG$38),)</f>
        <v>2215.1909829983051</v>
      </c>
      <c r="AI53" s="674">
        <f ca="1">IFERROR(AG53*($AI$35/$AG$35),0)</f>
        <v>3493.4716261281815</v>
      </c>
      <c r="AJ53" s="303">
        <f>(IF(C140=0,0,B140/C140*D140)+IF(C141=0,0,B141/C141*D141)+IF(C142=0,0,B142/C142*D142))*0.024*P$149</f>
        <v>6078.2788868826328</v>
      </c>
      <c r="AK53" s="673">
        <f ca="1">AJ53*($AK$38/$AJ$38)</f>
        <v>9018.2327912319961</v>
      </c>
      <c r="AL53" s="674">
        <f ca="1">IFERROR(AJ53*($AL$38/$AJ$38),0)</f>
        <v>9265.2848405761415</v>
      </c>
      <c r="AM53" s="303">
        <f>(IF(C140=0,0,B140/C140*D140)+IF(C141=0,0,B141/C141*D141)+IF(C142=0,0,B142/C142*D142))*0.024*Q$149</f>
        <v>8507.5964737121612</v>
      </c>
      <c r="AN53" s="673">
        <f ca="1">AM53*($AN$38/$AM$38)</f>
        <v>9199.1493611471287</v>
      </c>
      <c r="AO53" s="674">
        <f ca="1">AM53*($AO$38/$AM$38)</f>
        <v>10652.32948030738</v>
      </c>
      <c r="AP53" s="303">
        <f>(IF(C140=0,0,B140/C140*D140)+IF(C141=0,0,B141/C141*D141)+IF(C142=0,0,B142/C142*D142))*0.024*R$149</f>
        <v>10748.594867764205</v>
      </c>
      <c r="AQ53" s="673">
        <f ca="1">AP53*($AQ$38/$AP$38)</f>
        <v>11008.892428427242</v>
      </c>
      <c r="AR53" s="674">
        <f ca="1">AP53*($AR$38/$AP$38)</f>
        <v>12275.980907445442</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1167</v>
      </c>
      <c r="C54" s="520">
        <f>0.86*C53/1000</f>
        <v>54.659645703664353</v>
      </c>
      <c r="D54" s="339">
        <f ca="1">0.86*D53/1000</f>
        <v>63.440992865071891</v>
      </c>
      <c r="E54" s="638">
        <f ca="1">0.86*E53/1000</f>
        <v>64.711555490497915</v>
      </c>
      <c r="F54" s="50"/>
      <c r="G54" s="341" t="s">
        <v>868</v>
      </c>
      <c r="H54" s="342" t="s">
        <v>1167</v>
      </c>
      <c r="I54" s="690">
        <f t="shared" ref="I54:O54" si="20">0.86*I53/1000</f>
        <v>10.011646478428037</v>
      </c>
      <c r="J54" s="642">
        <f t="shared" ca="1" si="20"/>
        <v>10.125416710594633</v>
      </c>
      <c r="K54" s="675">
        <f t="shared" ca="1" si="20"/>
        <v>10.84382930794094</v>
      </c>
      <c r="L54" s="690">
        <f>0.86*L53/1000</f>
        <v>8.6159797079553879</v>
      </c>
      <c r="M54" s="645">
        <f t="shared" ca="1" si="20"/>
        <v>8.9563343185882527</v>
      </c>
      <c r="N54" s="643">
        <f t="shared" ca="1" si="20"/>
        <v>9.0480648248210116</v>
      </c>
      <c r="O54" s="690">
        <f t="shared" si="20"/>
        <v>7.2355557144981395</v>
      </c>
      <c r="P54" s="679">
        <f ca="1">O54*($P$35/$O$35)</f>
        <v>9.327092021955071</v>
      </c>
      <c r="Q54" s="680">
        <f ca="1">O54*($Q$35/$O$35)</f>
        <v>7.9070503300311143</v>
      </c>
      <c r="R54" s="690">
        <f t="shared" ref="R54:AR54" si="21">0.86*R53/1000</f>
        <v>4.7157341391396708</v>
      </c>
      <c r="S54" s="687">
        <f t="shared" ca="1" si="21"/>
        <v>6.8753697903946032</v>
      </c>
      <c r="T54" s="688">
        <f t="shared" ca="1" si="21"/>
        <v>6.6039964834449201</v>
      </c>
      <c r="U54" s="690">
        <f t="shared" si="21"/>
        <v>0.58208354727562406</v>
      </c>
      <c r="V54" s="642">
        <f t="shared" ca="1" si="21"/>
        <v>1.5948357766910679</v>
      </c>
      <c r="W54" s="648">
        <f t="shared" ca="1" si="21"/>
        <v>0.9364128107633094</v>
      </c>
      <c r="X54" s="690">
        <f t="shared" si="21"/>
        <v>0</v>
      </c>
      <c r="Y54" s="642">
        <f t="shared" ca="1" si="21"/>
        <v>0</v>
      </c>
      <c r="Z54" s="648">
        <f t="shared" ca="1" si="21"/>
        <v>0</v>
      </c>
      <c r="AA54" s="690">
        <f t="shared" si="21"/>
        <v>0</v>
      </c>
      <c r="AB54" s="642">
        <f t="shared" ca="1" si="21"/>
        <v>0</v>
      </c>
      <c r="AC54" s="648">
        <f t="shared" ca="1" si="21"/>
        <v>0</v>
      </c>
      <c r="AD54" s="690">
        <f t="shared" si="21"/>
        <v>0</v>
      </c>
      <c r="AE54" s="642">
        <f t="shared" ca="1" si="21"/>
        <v>0</v>
      </c>
      <c r="AF54" s="648">
        <f t="shared" ca="1" si="21"/>
        <v>0</v>
      </c>
      <c r="AG54" s="690">
        <f t="shared" si="21"/>
        <v>0.65019970706319696</v>
      </c>
      <c r="AH54" s="642">
        <f t="shared" ca="1" si="21"/>
        <v>1.9050642453785425</v>
      </c>
      <c r="AI54" s="648">
        <f t="shared" ca="1" si="21"/>
        <v>3.0043855984702357</v>
      </c>
      <c r="AJ54" s="690">
        <f t="shared" si="21"/>
        <v>5.2273198427190648</v>
      </c>
      <c r="AK54" s="642">
        <f t="shared" ca="1" si="21"/>
        <v>7.7556802004595164</v>
      </c>
      <c r="AL54" s="648">
        <f t="shared" ca="1" si="21"/>
        <v>7.9681449628954812</v>
      </c>
      <c r="AM54" s="690">
        <f t="shared" si="21"/>
        <v>7.3165329673924591</v>
      </c>
      <c r="AN54" s="642">
        <f t="shared" ca="1" si="21"/>
        <v>7.9112684505865305</v>
      </c>
      <c r="AO54" s="648">
        <f t="shared" ca="1" si="21"/>
        <v>9.1610033530643467</v>
      </c>
      <c r="AP54" s="690">
        <f t="shared" si="21"/>
        <v>9.2437915862772151</v>
      </c>
      <c r="AQ54" s="642">
        <f t="shared" ca="1" si="21"/>
        <v>9.4676474884474278</v>
      </c>
      <c r="AR54" s="648">
        <f t="shared" ca="1" si="21"/>
        <v>10.55734358040308</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1164</v>
      </c>
      <c r="C55" s="691"/>
      <c r="D55" s="652"/>
      <c r="E55" s="552"/>
      <c r="F55" s="50"/>
      <c r="G55" s="324" t="s">
        <v>868</v>
      </c>
      <c r="H55" s="350" t="s">
        <v>1164</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1187</v>
      </c>
      <c r="B56" s="290" t="s">
        <v>837</v>
      </c>
      <c r="C56" s="301">
        <f>(IF(C144=0,0,B144/C144*D144)+IF(C143=0,0,B143/C143*D143))*0.024*$D$149</f>
        <v>57826.680277685948</v>
      </c>
      <c r="D56" s="668">
        <f ca="1">C56*($D$38/$C$38)</f>
        <v>67116.8274817692</v>
      </c>
      <c r="E56" s="669">
        <f ca="1">C56*($E$38/$C$38)</f>
        <v>68461.007777258434</v>
      </c>
      <c r="F56" s="50"/>
      <c r="G56" s="302" t="s">
        <v>1187</v>
      </c>
      <c r="H56" s="294" t="s">
        <v>837</v>
      </c>
      <c r="I56" s="303">
        <f>(IF(C144=0,0,B144/C144*D144)+IF(C143=0,0,B143/C143*D143))*0.024*G$149</f>
        <v>10591.731294783469</v>
      </c>
      <c r="J56" s="572">
        <f ca="1">I56*($J$38/$I$38)</f>
        <v>10712.093488060085</v>
      </c>
      <c r="K56" s="670">
        <f ca="1">I56*($K$35/$I$35)</f>
        <v>11668.230947533932</v>
      </c>
      <c r="L56" s="303">
        <f>(IF(C144=0,0,B144/C144*D144)+IF(C143=0,0,B143/C143*D143))*0.024*H$149</f>
        <v>9115.1981948826433</v>
      </c>
      <c r="M56" s="671">
        <f ca="1">L56*($M$38/$L$38)</f>
        <v>9475.2732922736141</v>
      </c>
      <c r="N56" s="670">
        <f ca="1">L56*($N$38/$L$38)</f>
        <v>9572.3187558390036</v>
      </c>
      <c r="O56" s="303">
        <f>(IF(C144=0,0,B144/C144*D144)+IF(C143=0,0,B143/C143*D143))*0.024*I$149</f>
        <v>7654.7910537520656</v>
      </c>
      <c r="P56" s="673">
        <f ca="1">O56*($P$38/$O$38)</f>
        <v>9326.2409718389226</v>
      </c>
      <c r="Q56" s="674">
        <f ca="1">O56*($Q$38/$O$38)</f>
        <v>8191.4155513172209</v>
      </c>
      <c r="R56" s="303">
        <f>(IF(C144=0,0,B144/C144*D144)+IF(C143=0,0,B143/C143*D143))*0.024*J$149</f>
        <v>4988.9684945454546</v>
      </c>
      <c r="S56" s="673">
        <f ca="1">R56*($S$38/$R$38)</f>
        <v>7273.7355967412686</v>
      </c>
      <c r="T56" s="674">
        <f ca="1">R56*($T$38/$R$38)</f>
        <v>6986.638648803576</v>
      </c>
      <c r="U56" s="303">
        <f>(IF(C144=0,0,B144/C144*D144)+IF(C143=0,0,B143/C143*D143))*0.024*K$149</f>
        <v>615.81005053884303</v>
      </c>
      <c r="V56" s="673">
        <f ca="1">IFERROR(U56*($V$38/$U$38),0)</f>
        <v>1687.2421576626991</v>
      </c>
      <c r="W56" s="674">
        <f ca="1">IFERROR(U56*($W$38/$U$38),0)</f>
        <v>990.66950615651285</v>
      </c>
      <c r="X56" s="303">
        <f>(IF(C144=0,0,B144/C144*D144)+IF(C143=0,0,B143/C143*D143))*0.024*L$149</f>
        <v>0</v>
      </c>
      <c r="Y56" s="673">
        <f ca="1">IFERROR(X56*($Y$38/$X$38),0)</f>
        <v>0</v>
      </c>
      <c r="Z56" s="674">
        <f ca="1">IFERROR(X56*($Z$38/$X$38),0)</f>
        <v>0</v>
      </c>
      <c r="AA56" s="303">
        <f>(IF(C144=0,0,B144/C144*D144)+IF(C143=0,0,B143/C143*D143))*0.024*M$149</f>
        <v>0</v>
      </c>
      <c r="AB56" s="673">
        <f ca="1">IFERROR(AA56*($AB$38/$AA$38),0)</f>
        <v>0</v>
      </c>
      <c r="AC56" s="674">
        <f ca="1">IFERROR(AA56*($AC$38/$AA$38),0)</f>
        <v>0</v>
      </c>
      <c r="AD56" s="303">
        <f>(IF(C144=0,0,B144/C144*D144)+IF(C143=0,0,B143/C143*D143))*0.024*N$149</f>
        <v>0</v>
      </c>
      <c r="AE56" s="673">
        <f ca="1">IFERROR(AD56*($AE$38/$AD$38),0)</f>
        <v>0</v>
      </c>
      <c r="AF56" s="674">
        <f ca="1">IFERROR(AD56*($AF$35/$AD$35),)</f>
        <v>0</v>
      </c>
      <c r="AG56" s="303">
        <f>(IF(C144=0,0,B144/C144*D144)+IF(C143=0,0,B143/C143*D143))*0.024*O$149</f>
        <v>687.87292879338838</v>
      </c>
      <c r="AH56" s="673">
        <f ca="1">IFERROR(AG56*($AH$38/$AG$38),0)</f>
        <v>2015.4455742945054</v>
      </c>
      <c r="AI56" s="674">
        <f ca="1">IFERROR(AG56*($AI$35/$AG$35),0)</f>
        <v>3178.4627067565398</v>
      </c>
      <c r="AJ56" s="303">
        <f>(IF(C144=0,0,B144/C144*D144)+IF(C143=0,0,B143/C143*D143))*0.024*P$149</f>
        <v>5530.1959857719003</v>
      </c>
      <c r="AK56" s="673">
        <f ca="1">AJ56*($AK$38/$AJ$38)</f>
        <v>8205.0520729570981</v>
      </c>
      <c r="AL56" s="674">
        <f ca="1">AJ56*($AL$38/$AJ$38)</f>
        <v>8429.8272563578084</v>
      </c>
      <c r="AM56" s="303">
        <f>(IF(C144=0,0,B144/C144*D144)+IF(C143=0,0,B143/C143*D143))*0.024*Q$149</f>
        <v>7740.4602097190082</v>
      </c>
      <c r="AN56" s="673">
        <f ca="1">AM56*($AN$38/$AM$38)</f>
        <v>8369.6552620051407</v>
      </c>
      <c r="AO56" s="674">
        <f ca="1">AM56*($AO$38/$AM$38)</f>
        <v>9691.8010554346984</v>
      </c>
      <c r="AP56" s="303">
        <f>(IF(C144=0,0,B144/C144*D144)+IF(C143=0,0,B143/C143*D143))*0.024*R$149</f>
        <v>9779.3861217322319</v>
      </c>
      <c r="AQ56" s="673">
        <f ca="1">AP56*($AQ$38/$AP$38)</f>
        <v>10016.212458903348</v>
      </c>
      <c r="AR56" s="674">
        <f ca="1">AP56*($AR$38/$AP$38)</f>
        <v>11169.046632966409</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1167</v>
      </c>
      <c r="C57" s="520">
        <f>0.86*C56/1000</f>
        <v>49.730945038809914</v>
      </c>
      <c r="D57" s="339">
        <f ca="1">0.86*D56/1000</f>
        <v>57.720471634321513</v>
      </c>
      <c r="E57" s="638">
        <f ca="1">0.86*E56/1000</f>
        <v>58.876466688442257</v>
      </c>
      <c r="F57" s="50"/>
      <c r="G57" s="341" t="s">
        <v>868</v>
      </c>
      <c r="H57" s="342" t="s">
        <v>1167</v>
      </c>
      <c r="I57" s="690">
        <f t="shared" ref="I57:O57" si="22">0.86*I56/1000</f>
        <v>9.108888913513784</v>
      </c>
      <c r="J57" s="642">
        <f t="shared" ca="1" si="22"/>
        <v>9.2124003997316741</v>
      </c>
      <c r="K57" s="675">
        <f t="shared" ca="1" si="22"/>
        <v>10.034678614879182</v>
      </c>
      <c r="L57" s="690">
        <f>0.86*L56/1000</f>
        <v>7.8390704475990729</v>
      </c>
      <c r="M57" s="645">
        <f t="shared" ca="1" si="22"/>
        <v>8.148735031355308</v>
      </c>
      <c r="N57" s="643">
        <f t="shared" ca="1" si="22"/>
        <v>8.2321941300215418</v>
      </c>
      <c r="O57" s="690">
        <f t="shared" si="22"/>
        <v>6.5831203062267756</v>
      </c>
      <c r="P57" s="679">
        <f ca="1">O57*($P$35/$O$35)</f>
        <v>8.4860612384956244</v>
      </c>
      <c r="Q57" s="680">
        <f ca="1">O57*($Q$35/$O$35)</f>
        <v>7.19406575581809</v>
      </c>
      <c r="R57" s="690">
        <f t="shared" ref="R57:AR57" si="23">0.86*R56/1000</f>
        <v>4.2905129053090914</v>
      </c>
      <c r="S57" s="687">
        <f t="shared" ca="1" si="23"/>
        <v>6.2554126131974908</v>
      </c>
      <c r="T57" s="688">
        <f t="shared" ca="1" si="23"/>
        <v>6.0085092379710749</v>
      </c>
      <c r="U57" s="690">
        <f t="shared" si="23"/>
        <v>0.52959664346340507</v>
      </c>
      <c r="V57" s="642">
        <f t="shared" ca="1" si="23"/>
        <v>1.4510282555899212</v>
      </c>
      <c r="W57" s="648">
        <f t="shared" ca="1" si="23"/>
        <v>0.851975775294601</v>
      </c>
      <c r="X57" s="690">
        <f t="shared" si="23"/>
        <v>0</v>
      </c>
      <c r="Y57" s="642">
        <f t="shared" ca="1" si="23"/>
        <v>0</v>
      </c>
      <c r="Z57" s="648">
        <f t="shared" ca="1" si="23"/>
        <v>0</v>
      </c>
      <c r="AA57" s="690">
        <f t="shared" si="23"/>
        <v>0</v>
      </c>
      <c r="AB57" s="642">
        <f t="shared" ca="1" si="23"/>
        <v>0</v>
      </c>
      <c r="AC57" s="648">
        <f t="shared" ca="1" si="23"/>
        <v>0</v>
      </c>
      <c r="AD57" s="690">
        <f t="shared" si="23"/>
        <v>0</v>
      </c>
      <c r="AE57" s="642">
        <f t="shared" ca="1" si="23"/>
        <v>0</v>
      </c>
      <c r="AF57" s="648">
        <f t="shared" ca="1" si="23"/>
        <v>0</v>
      </c>
      <c r="AG57" s="690">
        <f t="shared" si="23"/>
        <v>0.59157071876231393</v>
      </c>
      <c r="AH57" s="642">
        <f t="shared" ca="1" si="23"/>
        <v>1.7332831938932745</v>
      </c>
      <c r="AI57" s="648">
        <f t="shared" ca="1" si="23"/>
        <v>2.7334779278106245</v>
      </c>
      <c r="AJ57" s="690">
        <f t="shared" si="23"/>
        <v>4.7559685477638345</v>
      </c>
      <c r="AK57" s="642">
        <f t="shared" ca="1" si="23"/>
        <v>7.0563447827431043</v>
      </c>
      <c r="AL57" s="648">
        <f t="shared" ca="1" si="23"/>
        <v>7.2496514404677157</v>
      </c>
      <c r="AM57" s="690">
        <f t="shared" si="23"/>
        <v>6.6567957803583466</v>
      </c>
      <c r="AN57" s="642">
        <f t="shared" ca="1" si="23"/>
        <v>7.1979035253244215</v>
      </c>
      <c r="AO57" s="648">
        <f t="shared" ca="1" si="23"/>
        <v>8.3349489076738408</v>
      </c>
      <c r="AP57" s="690">
        <f t="shared" si="23"/>
        <v>8.4102720646897193</v>
      </c>
      <c r="AQ57" s="642">
        <f t="shared" ca="1" si="23"/>
        <v>8.6139427146568792</v>
      </c>
      <c r="AR57" s="648">
        <f t="shared" ca="1" si="23"/>
        <v>9.6053801043511129</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1164</v>
      </c>
      <c r="C58" s="651"/>
      <c r="D58" s="652"/>
      <c r="E58" s="552"/>
      <c r="F58" s="50"/>
      <c r="G58" s="692" t="s">
        <v>868</v>
      </c>
      <c r="H58" s="325" t="s">
        <v>1164</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1188</v>
      </c>
      <c r="B59" s="290" t="s">
        <v>837</v>
      </c>
      <c r="C59" s="301">
        <f>IF(C145=0,0,B145/C145*D145)*0.024*$D$149</f>
        <v>1739.3684210526317</v>
      </c>
      <c r="D59" s="668">
        <f ca="1">C59*($D$38/$C$38)</f>
        <v>2018.8067114078228</v>
      </c>
      <c r="E59" s="669">
        <f ca="1">C59*($E$38/$C$38)</f>
        <v>2059.2383036581109</v>
      </c>
      <c r="F59" s="50"/>
      <c r="G59" s="302" t="s">
        <v>1188</v>
      </c>
      <c r="H59" s="294" t="s">
        <v>837</v>
      </c>
      <c r="I59" s="305">
        <f>IF($C145=0,0,$B145/$C145*$D145)*0.024*G$149</f>
        <v>318.58863157894734</v>
      </c>
      <c r="J59" s="572">
        <f ca="1">I59*($J$38/$I$38)</f>
        <v>322.20900537645139</v>
      </c>
      <c r="K59" s="670">
        <f ca="1">I59*($K$38/$I$38)</f>
        <v>345.07018877828222</v>
      </c>
      <c r="L59" s="303">
        <f>IF($C145=0,0,$B145/$C145*$D145)*0.024*H$149</f>
        <v>274.17599999999999</v>
      </c>
      <c r="M59" s="671">
        <f ca="1">L59*($M$38/$L$38)</f>
        <v>285.00669701739361</v>
      </c>
      <c r="N59" s="670">
        <f ca="1">L59*($N$35/$L$35)</f>
        <v>291.16019583937083</v>
      </c>
      <c r="O59" s="303">
        <f>IF($C145=0,0,$B145/$C145*$D145)*0.024*I$149</f>
        <v>230.24842105263158</v>
      </c>
      <c r="P59" s="673">
        <f ca="1">O59*($P$38/$O$38)</f>
        <v>280.52395461137087</v>
      </c>
      <c r="Q59" s="674">
        <f ca="1">O59*($Q$38/$O$38)</f>
        <v>246.38954657714558</v>
      </c>
      <c r="R59" s="303">
        <f>IF($C145=0,0,$B145/$C145*$D145)*0.024*J$149</f>
        <v>150.06315789473686</v>
      </c>
      <c r="S59" s="673">
        <f ca="1">R59*($S$38/$R$38)</f>
        <v>218.78665590527075</v>
      </c>
      <c r="T59" s="674">
        <f ca="1">R59*($T$38/$R$38)</f>
        <v>210.15106827296273</v>
      </c>
      <c r="U59" s="305">
        <f>IF($C145=0,0,$B145/$C145*$D145)*0.024*K$149</f>
        <v>18.522947368421054</v>
      </c>
      <c r="V59" s="673">
        <f ca="1">IFERROR(U59*($V$38/$U$38),0)</f>
        <v>50.750548252372262</v>
      </c>
      <c r="W59" s="674">
        <f ca="1">IFERROR(U59*($W$38/$U$38),0)</f>
        <v>29.798343021488748</v>
      </c>
      <c r="X59" s="305">
        <f>IF($C145=0,0,$B145/$C145*$D145)*0.024*L$149</f>
        <v>0</v>
      </c>
      <c r="Y59" s="673">
        <f ca="1">IFERROR(X59*($Y$38/$X$38),0)</f>
        <v>0</v>
      </c>
      <c r="Z59" s="674">
        <f ca="1">IFERROR(X59*($Z$38/$X$38),0)</f>
        <v>0</v>
      </c>
      <c r="AA59" s="305">
        <f>IF($C145=0,0,$B145/$C145*$D145)*0.024*M$149</f>
        <v>0</v>
      </c>
      <c r="AB59" s="673">
        <f ca="1">IFERROR(AA59*($AB$38/$AA$38),0)</f>
        <v>0</v>
      </c>
      <c r="AC59" s="674">
        <f ca="1">IFERROR(AA59*($AC$38/$AA$38),0)</f>
        <v>0</v>
      </c>
      <c r="AD59" s="305">
        <f>IF($C145=0,0,$B145/$C145*$D145)*0.024*N$149</f>
        <v>0</v>
      </c>
      <c r="AE59" s="673">
        <f ca="1">IFERROR(AD59*($AE$38/$AD$38),)</f>
        <v>0</v>
      </c>
      <c r="AF59" s="674">
        <f ca="1">IFERROR(AD59*($AF$35/$AD$35),)</f>
        <v>0</v>
      </c>
      <c r="AG59" s="305">
        <f>IF($C145=0,0,$B145/$C145*$D145)*0.024*O$149</f>
        <v>20.690526315789477</v>
      </c>
      <c r="AH59" s="673">
        <f ca="1">IFERROR(AG59*($AH$38/$AG$38),)</f>
        <v>60.622577146813732</v>
      </c>
      <c r="AI59" s="674">
        <f ca="1">IFERROR(AG59*($AI$35/$AG$35),0)</f>
        <v>95.60496354066396</v>
      </c>
      <c r="AJ59" s="303">
        <f>IF($C145=0,0,$B145/$C145*$D145)*0.024*P$149</f>
        <v>166.34273684210527</v>
      </c>
      <c r="AK59" s="673">
        <f ca="1">AJ59*($AK$38/$AJ$38)</f>
        <v>246.79971944198067</v>
      </c>
      <c r="AL59" s="674">
        <f ca="1">AJ59*($AL$38/$AJ$38)</f>
        <v>253.56073103673367</v>
      </c>
      <c r="AM59" s="303">
        <f>IF($C145=0,0,$B145/$C145*$D145)*0.024*Q$149</f>
        <v>232.82526315789477</v>
      </c>
      <c r="AN59" s="673">
        <f ca="1">AM59*($AN$38/$AM$38)</f>
        <v>251.75081792558504</v>
      </c>
      <c r="AO59" s="674">
        <f ca="1">AM59*($AO$38/$AM$38)</f>
        <v>291.51963450083554</v>
      </c>
      <c r="AP59" s="303">
        <f>IF($C145=0,0,$B145/$C145*$D145)*0.024*R$149</f>
        <v>294.15410526315793</v>
      </c>
      <c r="AQ59" s="673">
        <f ca="1">AP59*($AQ$38/$AP$38)</f>
        <v>301.27760345068845</v>
      </c>
      <c r="AR59" s="674">
        <f ca="1">AP59*($AR$38/$AP$38)</f>
        <v>335.95369669080731</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1167</v>
      </c>
      <c r="C60" s="693"/>
      <c r="D60" s="339">
        <f ca="1">0.86*D59/1000</f>
        <v>1.7361737718107277</v>
      </c>
      <c r="E60" s="638">
        <f ca="1">0.86*E59/1000</f>
        <v>1.7709449411459754</v>
      </c>
      <c r="F60" s="50"/>
      <c r="G60" s="341" t="s">
        <v>868</v>
      </c>
      <c r="H60" s="342" t="s">
        <v>1167</v>
      </c>
      <c r="I60" s="690">
        <f t="shared" ref="I60:W60" si="24">0.86*I59/1000</f>
        <v>0.27398622315789473</v>
      </c>
      <c r="J60" s="642">
        <f t="shared" ca="1" si="24"/>
        <v>0.27709974462374815</v>
      </c>
      <c r="K60" s="675">
        <f t="shared" ca="1" si="24"/>
        <v>0.29676036234932268</v>
      </c>
      <c r="L60" s="690">
        <f>0.86*L59/1000</f>
        <v>0.23579136000000001</v>
      </c>
      <c r="M60" s="645">
        <f t="shared" ca="1" si="24"/>
        <v>0.24510575943495849</v>
      </c>
      <c r="N60" s="643">
        <f t="shared" ca="1" si="24"/>
        <v>0.2503977684218589</v>
      </c>
      <c r="O60" s="690">
        <f t="shared" si="24"/>
        <v>0.19801364210526315</v>
      </c>
      <c r="P60" s="645">
        <f t="shared" ca="1" si="24"/>
        <v>0.24125060096577894</v>
      </c>
      <c r="Q60" s="643">
        <f t="shared" ca="1" si="24"/>
        <v>0.2118950100563452</v>
      </c>
      <c r="R60" s="690">
        <f t="shared" si="24"/>
        <v>0.12905431578947368</v>
      </c>
      <c r="S60" s="687">
        <f t="shared" ca="1" si="24"/>
        <v>0.18815652407853284</v>
      </c>
      <c r="T60" s="688">
        <f t="shared" ca="1" si="24"/>
        <v>0.18072991871474794</v>
      </c>
      <c r="U60" s="690">
        <f t="shared" si="24"/>
        <v>1.5929734736842106E-2</v>
      </c>
      <c r="V60" s="642">
        <f t="shared" ca="1" si="24"/>
        <v>4.3645471497040143E-2</v>
      </c>
      <c r="W60" s="648">
        <f t="shared" ca="1" si="24"/>
        <v>2.5626574998480322E-2</v>
      </c>
      <c r="X60" s="690">
        <f t="shared" ref="X60:AR60" si="25">0.86*X59/1000</f>
        <v>0</v>
      </c>
      <c r="Y60" s="642">
        <f t="shared" ca="1" si="25"/>
        <v>0</v>
      </c>
      <c r="Z60" s="648">
        <f t="shared" ca="1" si="25"/>
        <v>0</v>
      </c>
      <c r="AA60" s="690">
        <f t="shared" si="25"/>
        <v>0</v>
      </c>
      <c r="AB60" s="642">
        <f t="shared" ca="1" si="25"/>
        <v>0</v>
      </c>
      <c r="AC60" s="648">
        <f t="shared" ca="1" si="25"/>
        <v>0</v>
      </c>
      <c r="AD60" s="690">
        <f t="shared" si="25"/>
        <v>0</v>
      </c>
      <c r="AE60" s="642">
        <f t="shared" ca="1" si="25"/>
        <v>0</v>
      </c>
      <c r="AF60" s="648">
        <f t="shared" ca="1" si="25"/>
        <v>0</v>
      </c>
      <c r="AG60" s="690">
        <f t="shared" si="25"/>
        <v>1.7793852631578951E-2</v>
      </c>
      <c r="AH60" s="642">
        <f t="shared" ca="1" si="25"/>
        <v>5.2135416346259809E-2</v>
      </c>
      <c r="AI60" s="648">
        <f t="shared" ca="1" si="25"/>
        <v>8.2220268644971006E-2</v>
      </c>
      <c r="AJ60" s="690">
        <f t="shared" si="25"/>
        <v>0.14305475368421053</v>
      </c>
      <c r="AK60" s="642">
        <f t="shared" ca="1" si="25"/>
        <v>0.21224775872010337</v>
      </c>
      <c r="AL60" s="648">
        <f t="shared" ca="1" si="25"/>
        <v>0.21806222869159095</v>
      </c>
      <c r="AM60" s="690">
        <f t="shared" si="25"/>
        <v>0.2002297263157895</v>
      </c>
      <c r="AN60" s="642">
        <f t="shared" ca="1" si="25"/>
        <v>0.21650570341600314</v>
      </c>
      <c r="AO60" s="648">
        <f t="shared" ca="1" si="25"/>
        <v>0.25070688567071853</v>
      </c>
      <c r="AP60" s="690">
        <f t="shared" si="25"/>
        <v>0.2529725305263158</v>
      </c>
      <c r="AQ60" s="642">
        <f t="shared" ca="1" si="25"/>
        <v>0.25909873896759206</v>
      </c>
      <c r="AR60" s="648">
        <f t="shared" ca="1" si="25"/>
        <v>0.28892017915409429</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1164</v>
      </c>
      <c r="C61" s="651"/>
      <c r="D61" s="652"/>
      <c r="E61" s="552"/>
      <c r="F61" s="50"/>
      <c r="G61" s="692" t="s">
        <v>868</v>
      </c>
      <c r="H61" s="325" t="s">
        <v>1164</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1181</v>
      </c>
      <c r="B62" s="290" t="s">
        <v>837</v>
      </c>
      <c r="C62" s="292">
        <f>(D153*D154*'Ввод исходных данных'!$D$22*0.28)*D149*0.024+D156*D194+D163</f>
        <v>364994.46531346982</v>
      </c>
      <c r="D62" s="634">
        <f ca="1">C62*(($D$35+$D$71)/($C$35+$C$71))</f>
        <v>423632.66303041967</v>
      </c>
      <c r="E62" s="634">
        <f ca="1">$C62*(($E$35+$E$71)/($C$35+$C$71))</f>
        <v>432116.95377443312</v>
      </c>
      <c r="F62" s="50"/>
      <c r="G62" s="306" t="s">
        <v>1181</v>
      </c>
      <c r="H62" s="294" t="s">
        <v>837</v>
      </c>
      <c r="I62" s="296">
        <f>($D$153*$D$154*'Ввод исходных данных'!$D$22*0.28)*G$149*0.024+G194*$D$156+G163</f>
        <v>66853.626770880233</v>
      </c>
      <c r="J62" s="634">
        <f ca="1">I62*((J$35+J$71)/(I$35+I$71))</f>
        <v>67613.337239611865</v>
      </c>
      <c r="K62" s="634">
        <f ca="1">IFERROR(I62*((K$35+K$71)/(I$35+I$71)),0)</f>
        <v>72410.598884234947</v>
      </c>
      <c r="L62" s="296">
        <f>($D$153*$D$154*'Ввод исходных данных'!$D$22*0.28)*H$149*0.024+H194*$D$156+H163</f>
        <v>57533.942384226932</v>
      </c>
      <c r="M62" s="634">
        <f ca="1">L62*((M$35+M$71)/(L$35+L$71))</f>
        <v>59806.68944516495</v>
      </c>
      <c r="N62" s="634">
        <f ca="1">IFERROR(L62*((N$35+N$71)/(L$35+L$71)),0)</f>
        <v>60419.227756460939</v>
      </c>
      <c r="O62" s="296">
        <f>($D$153*$D$154*'Ввод исходных данных'!$D$22*0.28)*I$149*0.024+I194*$D$156+I163</f>
        <v>48316.042946506372</v>
      </c>
      <c r="P62" s="634">
        <f ca="1">O62*((P$35+P$71)/(O$35+O$71))</f>
        <v>58866.01687239622</v>
      </c>
      <c r="Q62" s="634">
        <f ca="1">IFERROR(O62*((Q$35+Q$71)/(O$35+O$71)),0)</f>
        <v>51703.146799301518</v>
      </c>
      <c r="R62" s="296">
        <f>($D$153*$D$154*'Ввод исходных данных'!$D$22*0.28)*J$149*0.024+J194*$D$156+J163</f>
        <v>31489.718576064064</v>
      </c>
      <c r="S62" s="634">
        <f ca="1">R62*((S$35+S$71)/(R$35+R$71))</f>
        <v>45910.870591486979</v>
      </c>
      <c r="T62" s="634">
        <f ca="1">IFERROR(R62*((T$35+T$71)/(R$35+R$71)),0)</f>
        <v>44098.752093547148</v>
      </c>
      <c r="U62" s="296">
        <f>($D$153*$D$154*'Ввод исходных данных'!$D$22*0.28)*K$149*0.024+K194*$D$156+K163</f>
        <v>3886.9127373687156</v>
      </c>
      <c r="V62" s="634">
        <f ca="1">IFERROR(U62*((V$35+V$71)/(U$35+U$71)),0)</f>
        <v>10649.652482784471</v>
      </c>
      <c r="W62" s="634">
        <f ca="1">IFERROR(U62*((W$35+W$71)/(U$35+U$71)),0)</f>
        <v>6252.9767395532963</v>
      </c>
      <c r="X62" s="296">
        <f>($D$153*$D$154*'Ввод исходных данных'!$D$22*0.28)*L$149*0.024+L194*$D$156+L163</f>
        <v>0</v>
      </c>
      <c r="Y62" s="634">
        <f ca="1">IFERROR(X62*((Y$35+Y$71)/(X$35+X$71)),0)</f>
        <v>0</v>
      </c>
      <c r="Z62" s="634">
        <f ca="1">IFERROR(X62*((Z$35+Z$71)/(X$35+X$71)),0)</f>
        <v>0</v>
      </c>
      <c r="AA62" s="296">
        <f>($D$153*$D$154*'Ввод исходных данных'!$D$22*0.28)*M$149*0.024+M194*$D$156+M163</f>
        <v>0</v>
      </c>
      <c r="AB62" s="634">
        <f ca="1">IFERROR(AA62*((AB$35+AB$71)/(AA$35+AA$71)),0)</f>
        <v>0</v>
      </c>
      <c r="AC62" s="634">
        <f ca="1">IFERROR(AA62*((AC$35+AC$71)/(AA$35+AA$71)),0)</f>
        <v>0</v>
      </c>
      <c r="AD62" s="296">
        <f>($D$153*$D$154*'Ввод исходных данных'!$D$22*0.28)*N$149*0.024+N194*$D$156+N163</f>
        <v>0</v>
      </c>
      <c r="AE62" s="634">
        <f ca="1">IFERROR(AD62*((AE$35+AE$71)/(AD$35+AD$71)),0)</f>
        <v>0</v>
      </c>
      <c r="AF62" s="634">
        <f ca="1">IFERROR(AD62*((AF$35+AF$71)/(AD$35+AD$71)),0)</f>
        <v>0</v>
      </c>
      <c r="AG62" s="296">
        <f>($D$153*$D$154*'Ввод исходных данных'!$D$22*0.28)*O$149*0.024+O194*$D$156+O163</f>
        <v>4341.7642279118627</v>
      </c>
      <c r="AH62" s="634">
        <f ca="1">IFERROR(AG62*((AH$35+AH$71)/(AG$35+AG$71)),0)</f>
        <v>12721.229650837906</v>
      </c>
      <c r="AI62" s="634">
        <f ca="1">IFERROR(AG62*((AI$35+AI$71)/(AG$35+AG$71)),0)</f>
        <v>7809.4698383728837</v>
      </c>
      <c r="AJ62" s="296">
        <f>($D$153*$D$154*'Ввод исходных данных'!$D$22*0.28)*P$149*0.024+P194*$D$156+P163</f>
        <v>34905.875924618893</v>
      </c>
      <c r="AK62" s="634">
        <f ca="1">IFERROR(AJ62*((AK$35+AK$71)/(AJ$35+AJ$71)),0)</f>
        <v>51789.21874568997</v>
      </c>
      <c r="AL62" s="634">
        <f ca="1">IFERROR(AJ62*((AL$35+AL$71)/(AJ$35+AJ$71)),0)</f>
        <v>53207.970392630654</v>
      </c>
      <c r="AM62" s="296">
        <f>($D$153*$D$154*'Ввод исходных данных'!$D$22*0.28)*Q$149*0.024+Q194*$D$156+Q163</f>
        <v>48856.775487711515</v>
      </c>
      <c r="AN62" s="634">
        <f ca="1">IFERROR(AM62*((AN$35+AN$71)/(AM$35+AM$71)),0)</f>
        <v>52828.17261070486</v>
      </c>
      <c r="AO62" s="634">
        <f ca="1">IFERROR(AM62*((AO$35+AO$71)/(AM$35+AM$71)),0)</f>
        <v>61173.38445101674</v>
      </c>
      <c r="AP62" s="296">
        <f>($D$153*$D$154*'Ввод исходных данных'!$D$22*0.28)*R$149*0.024+R194*$D$156+R163</f>
        <v>61726.209968393858</v>
      </c>
      <c r="AQ62" s="634">
        <f ca="1">IFERROR(AP62*((AQ$35+AQ$71)/(AP$35+AP$71)),0)</f>
        <v>63221.026926462859</v>
      </c>
      <c r="AR62" s="634">
        <f ca="1">IFERROR(AP62*((AR$35+AR$71)/(AP$35+AP$71)),0)</f>
        <v>70497.565903569091</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1167</v>
      </c>
      <c r="C63" s="620">
        <f>0.86*C62/1000</f>
        <v>313.89524016958404</v>
      </c>
      <c r="D63" s="339">
        <f ca="1">0.86*D62/1000</f>
        <v>364.32409020616092</v>
      </c>
      <c r="E63" s="694">
        <f ca="1">0.86*E62/1000</f>
        <v>371.62058024601248</v>
      </c>
      <c r="F63" s="50"/>
      <c r="G63" s="341" t="s">
        <v>868</v>
      </c>
      <c r="H63" s="342" t="s">
        <v>1167</v>
      </c>
      <c r="I63" s="690">
        <f t="shared" ref="I63:O63" si="26">0.86*I62/1000</f>
        <v>57.494119022957001</v>
      </c>
      <c r="J63" s="642">
        <f t="shared" ca="1" si="26"/>
        <v>58.147470026066202</v>
      </c>
      <c r="K63" s="675">
        <f t="shared" ca="1" si="26"/>
        <v>62.273115040442057</v>
      </c>
      <c r="L63" s="695">
        <f t="shared" si="26"/>
        <v>49.479190450435162</v>
      </c>
      <c r="M63" s="645">
        <f t="shared" ca="1" si="26"/>
        <v>51.433752922841855</v>
      </c>
      <c r="N63" s="643">
        <f t="shared" ca="1" si="26"/>
        <v>51.960535870556406</v>
      </c>
      <c r="O63" s="332">
        <f t="shared" si="26"/>
        <v>41.551796933995483</v>
      </c>
      <c r="P63" s="679">
        <f ca="1">O63*($P$35/$O$35)</f>
        <v>53.56291195497311</v>
      </c>
      <c r="Q63" s="680">
        <f ca="1">O63*($Q$35/$O$35)</f>
        <v>45.408004944527377</v>
      </c>
      <c r="R63" s="647">
        <f t="shared" ref="R63:AR63" si="27">0.86*R62/1000</f>
        <v>27.081157975415096</v>
      </c>
      <c r="S63" s="687">
        <f t="shared" ca="1" si="27"/>
        <v>39.483348708678804</v>
      </c>
      <c r="T63" s="688">
        <f t="shared" ca="1" si="27"/>
        <v>37.924926800450542</v>
      </c>
      <c r="U63" s="332">
        <f t="shared" si="27"/>
        <v>3.3427449541370953</v>
      </c>
      <c r="V63" s="642">
        <f t="shared" ca="1" si="27"/>
        <v>9.1587011351946455</v>
      </c>
      <c r="W63" s="648">
        <f t="shared" ca="1" si="27"/>
        <v>5.3775599960158349</v>
      </c>
      <c r="X63" s="332">
        <f t="shared" si="27"/>
        <v>0</v>
      </c>
      <c r="Y63" s="642">
        <f t="shared" ca="1" si="27"/>
        <v>0</v>
      </c>
      <c r="Z63" s="648">
        <f t="shared" ca="1" si="27"/>
        <v>0</v>
      </c>
      <c r="AA63" s="332">
        <f t="shared" si="27"/>
        <v>0</v>
      </c>
      <c r="AB63" s="642">
        <f t="shared" ca="1" si="27"/>
        <v>0</v>
      </c>
      <c r="AC63" s="648">
        <f t="shared" ca="1" si="27"/>
        <v>0</v>
      </c>
      <c r="AD63" s="332">
        <f t="shared" si="27"/>
        <v>0</v>
      </c>
      <c r="AE63" s="642">
        <f t="shared" ca="1" si="27"/>
        <v>0</v>
      </c>
      <c r="AF63" s="648">
        <f t="shared" ca="1" si="27"/>
        <v>0</v>
      </c>
      <c r="AG63" s="332">
        <f t="shared" si="27"/>
        <v>3.7339172360042014</v>
      </c>
      <c r="AH63" s="642">
        <f t="shared" ca="1" si="27"/>
        <v>10.9402574997206</v>
      </c>
      <c r="AI63" s="648">
        <f t="shared" ca="1" si="27"/>
        <v>6.71614406100068</v>
      </c>
      <c r="AJ63" s="644">
        <f t="shared" si="27"/>
        <v>30.019053295172249</v>
      </c>
      <c r="AK63" s="642">
        <f t="shared" ca="1" si="27"/>
        <v>44.538728121293374</v>
      </c>
      <c r="AL63" s="648">
        <f t="shared" ca="1" si="27"/>
        <v>45.758854537662359</v>
      </c>
      <c r="AM63" s="647">
        <f t="shared" si="27"/>
        <v>42.0168269194319</v>
      </c>
      <c r="AN63" s="642">
        <f t="shared" ca="1" si="27"/>
        <v>45.432228445206178</v>
      </c>
      <c r="AO63" s="648">
        <f t="shared" ca="1" si="27"/>
        <v>52.609110627874401</v>
      </c>
      <c r="AP63" s="647">
        <f t="shared" si="27"/>
        <v>53.084540572818717</v>
      </c>
      <c r="AQ63" s="642">
        <f t="shared" ca="1" si="27"/>
        <v>54.370083156758064</v>
      </c>
      <c r="AR63" s="648">
        <f t="shared" ca="1" si="27"/>
        <v>60.627906677069419</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1164</v>
      </c>
      <c r="C64" s="582"/>
      <c r="D64" s="652"/>
      <c r="E64" s="696"/>
      <c r="F64" s="50"/>
      <c r="G64" s="324" t="s">
        <v>868</v>
      </c>
      <c r="H64" s="350" t="s">
        <v>1164</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1189</v>
      </c>
      <c r="B65" s="612" t="s">
        <v>837</v>
      </c>
      <c r="C65" s="292">
        <f>(C62+C38-C71*$D$158)*($D$160-1)</f>
        <v>100951.58781755572</v>
      </c>
      <c r="D65" s="634">
        <f ca="1">C65*(($D$35+$D$71)/($C$35+$C$71))</f>
        <v>117169.96844752469</v>
      </c>
      <c r="E65" s="634">
        <f ca="1">$C65*(($E$35+$E$71)/($C$35+$C$71))</f>
        <v>119516.58655686601</v>
      </c>
      <c r="F65" s="50"/>
      <c r="G65" s="697" t="s">
        <v>1189</v>
      </c>
      <c r="H65" s="698" t="s">
        <v>837</v>
      </c>
      <c r="I65" s="309">
        <f ca="1">(I62+I38-I71*$D$158)*($D$160-1)</f>
        <v>19290.328494499227</v>
      </c>
      <c r="J65" s="634">
        <f ca="1">I65*((J$35+J$71)/(I$35+I$71))</f>
        <v>19509.539705773805</v>
      </c>
      <c r="K65" s="634">
        <f ca="1">IFERROR(I65*((K$35+K$71)/(I$35+I$71)),0)</f>
        <v>20893.769065775399</v>
      </c>
      <c r="L65" s="311">
        <f ca="1">(L62+L38-L71*$D$158)*($D$160-1)</f>
        <v>16497.68284460434</v>
      </c>
      <c r="M65" s="634">
        <f ca="1">L65*((M$35+M$71)/(L$35+L$71))</f>
        <v>17149.386146056553</v>
      </c>
      <c r="N65" s="634">
        <f ca="1">IFERROR(L65*((N$35+N$71)/(L$35+L$71)),0)</f>
        <v>17325.029642246049</v>
      </c>
      <c r="O65" s="699">
        <f ca="1">(O62+O38-O71*$D$158)*($D$160-1)</f>
        <v>13268.237449086462</v>
      </c>
      <c r="P65" s="634">
        <f ca="1">O65*((P$35+P$71)/(O$35+O$71))</f>
        <v>16165.402667797714</v>
      </c>
      <c r="Q65" s="634">
        <f ca="1">IFERROR(O65*((Q$35+Q$71)/(O$35+O$71)),0)</f>
        <v>14198.381878202035</v>
      </c>
      <c r="R65" s="699">
        <f ca="1">(R62+R38-R71*$D$158)*($D$160-1)</f>
        <v>7880.3744328871635</v>
      </c>
      <c r="S65" s="634">
        <f ca="1">R65*((S$35+S$71)/(R$35+R$71))</f>
        <v>11489.300862655289</v>
      </c>
      <c r="T65" s="634">
        <f ca="1">IFERROR(R65*((T$35+T$71)/(R$35+R$71)),0)</f>
        <v>11035.814044536135</v>
      </c>
      <c r="U65" s="336">
        <f ca="1">(U62+U38-U71*$D$158)*($D$160-1)</f>
        <v>244.654705522032</v>
      </c>
      <c r="V65" s="634">
        <f ca="1">IFERROR(U65*((V$35+V$71)/(U$35+U$71)),0)</f>
        <v>670.32315056587106</v>
      </c>
      <c r="W65" s="634">
        <f ca="1">IFERROR(U65*((W$35+W$71)/(U$35+U$71)),0)</f>
        <v>393.58233287407285</v>
      </c>
      <c r="X65" s="700">
        <f>(X62+X38-X71*$D$158)*($D$160-1)</f>
        <v>0</v>
      </c>
      <c r="Y65" s="634">
        <f ca="1">IFERROR(X65*((Y$35+Y$71)/(X$35+X$71)),0)</f>
        <v>0</v>
      </c>
      <c r="Z65" s="634">
        <f ca="1">IFERROR(X65*((Z$35+Z$71)/(X$35+X$71)),0)</f>
        <v>0</v>
      </c>
      <c r="AA65" s="701">
        <f>(AA62+AA38-AA71*$D$158)*($D$160-1)</f>
        <v>0</v>
      </c>
      <c r="AB65" s="634">
        <f ca="1">IFERROR(AA65*((AB$35+AB$71)/(AA$35+AA$71)),0)</f>
        <v>0</v>
      </c>
      <c r="AC65" s="634">
        <f ca="1">IFERROR(AA65*((AC$35+AC$71)/(AA$35+AA$71)),0)</f>
        <v>0</v>
      </c>
      <c r="AD65" s="701">
        <f>(AD62+AD38-AD71*$D$158)*($D$160-1)</f>
        <v>0</v>
      </c>
      <c r="AE65" s="634">
        <f ca="1">IFERROR(AD65*((AE$35+AE$71)/(AD$35+AD$71)),0)</f>
        <v>0</v>
      </c>
      <c r="AF65" s="634">
        <f ca="1">IFERROR(AD65*((AF$35+AF$71)/(AD$35+AD$71)),0)</f>
        <v>0</v>
      </c>
      <c r="AG65" s="701">
        <f ca="1">(AG62+AG38-AG71*$D$158)*($D$160-1)</f>
        <v>470.72797101929086</v>
      </c>
      <c r="AH65" s="634">
        <f ca="1">IFERROR(AG65*((AH$35+AH$71)/(AG$35+AG$71)),0)</f>
        <v>1379.2178266873248</v>
      </c>
      <c r="AI65" s="634">
        <f ca="1">IFERROR(AG65*((AI$35+AI$71)/(AG$35+AG$71)),0)</f>
        <v>846.69173607375387</v>
      </c>
      <c r="AJ65" s="699">
        <f ca="1">(AJ62+AJ38-AJ71*$D$158)*($D$160-1)</f>
        <v>8911.8311609155262</v>
      </c>
      <c r="AK65" s="634">
        <f ca="1">IFERROR(AJ65*((AK$35+AK$71)/(AJ$35+AJ$71)),0)</f>
        <v>13222.323210396546</v>
      </c>
      <c r="AL65" s="634">
        <f ca="1">IFERROR(AJ65*((AL$35+AL$71)/(AJ$35+AJ$71)),0)</f>
        <v>13584.545180248007</v>
      </c>
      <c r="AM65" s="309">
        <f ca="1">(AM62+AM38-AM71*$D$158)*($D$160-1)</f>
        <v>13522.209900964326</v>
      </c>
      <c r="AN65" s="634">
        <f ca="1">IFERROR(AM65*((AN$35+AN$71)/(AM$35+AM$71)),0)</f>
        <v>14621.383249207684</v>
      </c>
      <c r="AO65" s="634">
        <f ca="1">IFERROR(AM65*((AO$35+AO$71)/(AM$35+AM$71)),0)</f>
        <v>16931.108052906467</v>
      </c>
      <c r="AP65" s="702">
        <f ca="1">(AP62+AP38-AP71*$D$158)*($D$160-1)</f>
        <v>17624.6437372574</v>
      </c>
      <c r="AQ65" s="634">
        <f ca="1">IFERROR(AP65*((AQ$35+AQ$71)/(AP$35+AP$71)),0)</f>
        <v>18051.457830522919</v>
      </c>
      <c r="AR65" s="634">
        <f ca="1">IFERROR(AP65*((AR$35+AR$71)/(AP$35+AP$71)),0)</f>
        <v>20129.12317199507</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1167</v>
      </c>
      <c r="C66" s="620">
        <f>0.86*C65/1000</f>
        <v>86.818365523097924</v>
      </c>
      <c r="D66" s="339">
        <f ca="1">0.86*D65/1000</f>
        <v>100.76617286487124</v>
      </c>
      <c r="E66" s="694">
        <f ca="1">0.86*E65/1000</f>
        <v>102.78426443890477</v>
      </c>
      <c r="F66" s="50"/>
      <c r="G66" s="341" t="s">
        <v>868</v>
      </c>
      <c r="H66" s="342" t="s">
        <v>1167</v>
      </c>
      <c r="I66" s="685">
        <f t="shared" ref="I66:O66" ca="1" si="28">0.86*I65/1000</f>
        <v>16.589682505269334</v>
      </c>
      <c r="J66" s="642">
        <f t="shared" ca="1" si="28"/>
        <v>16.778204146965471</v>
      </c>
      <c r="K66" s="686">
        <f t="shared" ca="1" si="28"/>
        <v>17.968641396566845</v>
      </c>
      <c r="L66" s="703">
        <f t="shared" ca="1" si="28"/>
        <v>14.188007246359732</v>
      </c>
      <c r="M66" s="645">
        <f t="shared" ca="1" si="28"/>
        <v>14.748472085608634</v>
      </c>
      <c r="N66" s="643">
        <f t="shared" ca="1" si="28"/>
        <v>14.899525492331602</v>
      </c>
      <c r="O66" s="690">
        <f t="shared" ca="1" si="28"/>
        <v>11.410684206214357</v>
      </c>
      <c r="P66" s="679">
        <f ca="1">O66*($P$35/$O$35)</f>
        <v>14.709098488672556</v>
      </c>
      <c r="Q66" s="680">
        <f ca="1">O66*($Q$35/$O$35)</f>
        <v>12.469650967905798</v>
      </c>
      <c r="R66" s="704">
        <f t="shared" ref="R66:AR66" ca="1" si="29">0.86*R65/1000</f>
        <v>6.7771220122829607</v>
      </c>
      <c r="S66" s="687">
        <f t="shared" ca="1" si="29"/>
        <v>9.8807987418835488</v>
      </c>
      <c r="T66" s="688">
        <f t="shared" ca="1" si="29"/>
        <v>9.490800078301076</v>
      </c>
      <c r="U66" s="647">
        <f t="shared" ca="1" si="29"/>
        <v>0.21040304674894753</v>
      </c>
      <c r="V66" s="642">
        <f t="shared" ca="1" si="29"/>
        <v>0.57647790948664912</v>
      </c>
      <c r="W66" s="648">
        <f t="shared" ca="1" si="29"/>
        <v>0.33848080627170263</v>
      </c>
      <c r="X66" s="705">
        <f t="shared" si="29"/>
        <v>0</v>
      </c>
      <c r="Y66" s="642">
        <f t="shared" ca="1" si="29"/>
        <v>0</v>
      </c>
      <c r="Z66" s="648">
        <f t="shared" ca="1" si="29"/>
        <v>0</v>
      </c>
      <c r="AA66" s="332">
        <f t="shared" si="29"/>
        <v>0</v>
      </c>
      <c r="AB66" s="642">
        <f t="shared" ca="1" si="29"/>
        <v>0</v>
      </c>
      <c r="AC66" s="648">
        <f t="shared" ca="1" si="29"/>
        <v>0</v>
      </c>
      <c r="AD66" s="332">
        <f t="shared" si="29"/>
        <v>0</v>
      </c>
      <c r="AE66" s="642">
        <f t="shared" ca="1" si="29"/>
        <v>0</v>
      </c>
      <c r="AF66" s="648">
        <f t="shared" ca="1" si="29"/>
        <v>0</v>
      </c>
      <c r="AG66" s="332">
        <f t="shared" ca="1" si="29"/>
        <v>0.40482605507659014</v>
      </c>
      <c r="AH66" s="642">
        <f t="shared" ca="1" si="29"/>
        <v>1.1861273309510993</v>
      </c>
      <c r="AI66" s="648">
        <f t="shared" ca="1" si="29"/>
        <v>0.7281548930234284</v>
      </c>
      <c r="AJ66" s="685">
        <f t="shared" ca="1" si="29"/>
        <v>7.6641747983873518</v>
      </c>
      <c r="AK66" s="642">
        <f t="shared" ca="1" si="29"/>
        <v>11.371197960941029</v>
      </c>
      <c r="AL66" s="686">
        <f t="shared" ca="1" si="29"/>
        <v>11.682708855013287</v>
      </c>
      <c r="AM66" s="644">
        <f t="shared" ca="1" si="29"/>
        <v>11.62910051482932</v>
      </c>
      <c r="AN66" s="642">
        <f t="shared" ca="1" si="29"/>
        <v>12.574389594318607</v>
      </c>
      <c r="AO66" s="648">
        <f t="shared" ca="1" si="29"/>
        <v>14.560752925499562</v>
      </c>
      <c r="AP66" s="650">
        <f t="shared" ca="1" si="29"/>
        <v>15.157193614041363</v>
      </c>
      <c r="AQ66" s="642">
        <f t="shared" ca="1" si="29"/>
        <v>15.524253734249712</v>
      </c>
      <c r="AR66" s="648">
        <f t="shared" ca="1" si="29"/>
        <v>17.31104592791576</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1164</v>
      </c>
      <c r="C67" s="582"/>
      <c r="D67" s="652"/>
      <c r="E67" s="696">
        <f ca="1">(E65/$E$35)*100</f>
        <v>10.977656567696386</v>
      </c>
      <c r="F67" s="50"/>
      <c r="G67" s="324" t="s">
        <v>868</v>
      </c>
      <c r="H67" s="350" t="s">
        <v>1164</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1183</v>
      </c>
      <c r="B68" s="612" t="s">
        <v>837</v>
      </c>
      <c r="C68" s="310">
        <f>C71*(1-$D$158)</f>
        <v>135538.11000000002</v>
      </c>
      <c r="D68" s="634">
        <f ca="1">C68*(($D$35+$D$71)/($C$35+$C$71))</f>
        <v>157312.98947806534</v>
      </c>
      <c r="E68" s="634">
        <f ca="1">$C68*(($E$35+$E$71)/($C$35+$C$71))</f>
        <v>160463.57076467871</v>
      </c>
      <c r="F68" s="50"/>
      <c r="G68" s="697" t="s">
        <v>1183</v>
      </c>
      <c r="H68" s="698" t="s">
        <v>837</v>
      </c>
      <c r="I68" s="295">
        <f ca="1">I71*(1-$D$158)</f>
        <v>18674.139600000002</v>
      </c>
      <c r="J68" s="634">
        <f ca="1">I68*((J$35+J$71)/(I$35+I$71))</f>
        <v>18886.348571059974</v>
      </c>
      <c r="K68" s="634">
        <f ca="1">IFERROR(I68*((K$35+K$71)/(I$35+I$71)),0)</f>
        <v>20226.36164105303</v>
      </c>
      <c r="L68" s="311">
        <f ca="1">L71*(1-$D$158)</f>
        <v>16866.964800000002</v>
      </c>
      <c r="M68" s="634">
        <f ca="1">L68*((M$35+M$71)/(L$35+L$71))</f>
        <v>17533.255742138783</v>
      </c>
      <c r="N68" s="634">
        <f ca="1">IFERROR(L68*((N$35+N$71)/(L$35+L$71)),0)</f>
        <v>17712.8308191652</v>
      </c>
      <c r="O68" s="309">
        <f ca="1">O71*(1-$D$158)</f>
        <v>18674.139600000002</v>
      </c>
      <c r="P68" s="634">
        <f ca="1">O68*((P$35+P$71)/(O$35+O$71))</f>
        <v>22751.702120725276</v>
      </c>
      <c r="Q68" s="634">
        <f ca="1">IFERROR(O68*((Q$35+Q$71)/(O$35+O$71)),0)</f>
        <v>19983.254468053739</v>
      </c>
      <c r="R68" s="311">
        <f ca="1">R71*(1-$D$158)</f>
        <v>18071.748</v>
      </c>
      <c r="S68" s="634">
        <f ca="1">R68*((S$35+S$71)/(R$35+R$71))</f>
        <v>26347.95486615198</v>
      </c>
      <c r="T68" s="634">
        <f ca="1">IFERROR(R68*((T$35+T$71)/(R$35+R$71)),0)</f>
        <v>25307.991655245434</v>
      </c>
      <c r="U68" s="706">
        <f ca="1">U71*(1-$D$158)</f>
        <v>7831.0908000000009</v>
      </c>
      <c r="V68" s="634">
        <f ca="1">IFERROR(U68*((V$35+V$71)/(U$35+U$71)),0)</f>
        <v>21456.204761002176</v>
      </c>
      <c r="W68" s="634">
        <f ca="1">IFERROR(U68*((W$35+W$71)/(U$35+U$71)),0)</f>
        <v>12598.07768436781</v>
      </c>
      <c r="X68" s="701">
        <f>X71*(1-$D$158)</f>
        <v>0</v>
      </c>
      <c r="Y68" s="634">
        <f ca="1">IFERROR(X68*((Y$35+Y$71)/(X$35+X$71)),0)</f>
        <v>0</v>
      </c>
      <c r="Z68" s="634">
        <f ca="1">IFERROR(X68*((Z$35+Z$71)/(X$35+X$71)),0)</f>
        <v>0</v>
      </c>
      <c r="AA68" s="701">
        <f>AA71*(1-$D$158)</f>
        <v>0</v>
      </c>
      <c r="AB68" s="634">
        <f ca="1">IFERROR(AA68*((AB$35+AB$71)/(AA$35+AA$71)),0)</f>
        <v>0</v>
      </c>
      <c r="AC68" s="634">
        <f ca="1">IFERROR(AA68*((AC$35+AC$71)/(AA$35+AA$71)),0)</f>
        <v>0</v>
      </c>
      <c r="AD68" s="701">
        <f>AD71*(1-$D$158)</f>
        <v>0</v>
      </c>
      <c r="AE68" s="634">
        <f ca="1">IFERROR(AD68*((AE$35+AE$71)/(AD$35+AD$71)),0)</f>
        <v>0</v>
      </c>
      <c r="AF68" s="634">
        <f ca="1">IFERROR(AD68*((AF$35+AF$71)/(AD$35+AD$71)),0)</f>
        <v>0</v>
      </c>
      <c r="AG68" s="707">
        <f ca="1">AG71*(1-$D$158)</f>
        <v>7228.6992000000009</v>
      </c>
      <c r="AH68" s="634">
        <f ca="1">IFERROR(AG68*((AH$35+AH$71)/(AG$35+AG$71)),0)</f>
        <v>21179.856337858932</v>
      </c>
      <c r="AI68" s="634">
        <f ca="1">IFERROR(AG68*((AI$35+AI$71)/(AG$35+AG$71)),0)</f>
        <v>13002.158894339707</v>
      </c>
      <c r="AJ68" s="295">
        <f ca="1">AJ71*(1-$D$158)</f>
        <v>18674.139600000002</v>
      </c>
      <c r="AK68" s="634">
        <f ca="1">IFERROR(AJ68*((AK$35+AK$71)/(AJ$35+AJ$71)),0)</f>
        <v>27706.484224045744</v>
      </c>
      <c r="AL68" s="634">
        <f ca="1">IFERROR(AJ68*((AL$35+AL$71)/(AJ$35+AJ$71)),0)</f>
        <v>28465.495869245977</v>
      </c>
      <c r="AM68" s="295">
        <f ca="1">AM71*(1-$D$158)</f>
        <v>18071.748</v>
      </c>
      <c r="AN68" s="634">
        <f ca="1">IFERROR(AM68*((AN$35+AN$71)/(AM$35+AM$71)),0)</f>
        <v>19540.737455366583</v>
      </c>
      <c r="AO68" s="634">
        <f ca="1">IFERROR(AM68*((AO$35+AO$71)/(AM$35+AM$71)),0)</f>
        <v>22627.567559876141</v>
      </c>
      <c r="AP68" s="708">
        <f ca="1">AP71*(1-$D$158)</f>
        <v>18674.139600000002</v>
      </c>
      <c r="AQ68" s="634">
        <f ca="1">IFERROR(AP68*((AQ$35+AQ$71)/(AP$35+AP$71)),0)</f>
        <v>19126.369221188816</v>
      </c>
      <c r="AR68" s="634">
        <f ca="1">IFERROR(AP68*((AR$35+AR$71)/(AP$35+AP$71)),0)</f>
        <v>21327.753442460464</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1167</v>
      </c>
      <c r="C69" s="323">
        <f>0.86*C68/1000</f>
        <v>116.5627746</v>
      </c>
      <c r="D69" s="329">
        <f ca="1">0.86*D68/1000</f>
        <v>135.28917095113619</v>
      </c>
      <c r="E69" s="709">
        <f ca="1">0.86*E68/1000</f>
        <v>137.99867085762369</v>
      </c>
      <c r="F69" s="50"/>
      <c r="G69" s="341" t="s">
        <v>868</v>
      </c>
      <c r="H69" s="342" t="s">
        <v>1167</v>
      </c>
      <c r="I69" s="710">
        <f t="shared" ref="I69:AR69" ca="1" si="30">0.86*I68/1000</f>
        <v>16.059760056000002</v>
      </c>
      <c r="J69" s="711">
        <f t="shared" ca="1" si="30"/>
        <v>16.242259771111577</v>
      </c>
      <c r="K69" s="712">
        <f t="shared" ca="1" si="30"/>
        <v>17.394671011305608</v>
      </c>
      <c r="L69" s="703">
        <f t="shared" ca="1" si="30"/>
        <v>14.505589728</v>
      </c>
      <c r="M69" s="711">
        <f t="shared" ca="1" si="30"/>
        <v>15.078599938239353</v>
      </c>
      <c r="N69" s="712">
        <f t="shared" ca="1" si="30"/>
        <v>15.233034504482072</v>
      </c>
      <c r="O69" s="644">
        <f t="shared" ca="1" si="30"/>
        <v>16.059760056000002</v>
      </c>
      <c r="P69" s="711">
        <f t="shared" ca="1" si="30"/>
        <v>19.566463823823739</v>
      </c>
      <c r="Q69" s="712">
        <f t="shared" ca="1" si="30"/>
        <v>17.185598842526215</v>
      </c>
      <c r="R69" s="705">
        <f t="shared" ca="1" si="30"/>
        <v>15.54170328</v>
      </c>
      <c r="S69" s="711">
        <f t="shared" ca="1" si="30"/>
        <v>22.659241184890703</v>
      </c>
      <c r="T69" s="712">
        <f t="shared" ca="1" si="30"/>
        <v>21.764872823511073</v>
      </c>
      <c r="U69" s="713">
        <f t="shared" ca="1" si="30"/>
        <v>6.7347380880000012</v>
      </c>
      <c r="V69" s="642">
        <f t="shared" ca="1" si="30"/>
        <v>18.452336094461874</v>
      </c>
      <c r="W69" s="648">
        <f t="shared" ca="1" si="30"/>
        <v>10.834346808556317</v>
      </c>
      <c r="X69" s="332">
        <f t="shared" si="30"/>
        <v>0</v>
      </c>
      <c r="Y69" s="642">
        <f t="shared" ca="1" si="30"/>
        <v>0</v>
      </c>
      <c r="Z69" s="648">
        <f t="shared" ca="1" si="30"/>
        <v>0</v>
      </c>
      <c r="AA69" s="332">
        <f t="shared" si="30"/>
        <v>0</v>
      </c>
      <c r="AB69" s="642">
        <f t="shared" ca="1" si="30"/>
        <v>0</v>
      </c>
      <c r="AC69" s="648">
        <f t="shared" ca="1" si="30"/>
        <v>0</v>
      </c>
      <c r="AD69" s="332">
        <f t="shared" si="30"/>
        <v>0</v>
      </c>
      <c r="AE69" s="642">
        <f t="shared" ca="1" si="30"/>
        <v>0</v>
      </c>
      <c r="AF69" s="648">
        <f t="shared" ca="1" si="30"/>
        <v>0</v>
      </c>
      <c r="AG69" s="332">
        <f t="shared" ca="1" si="30"/>
        <v>6.2166813120000004</v>
      </c>
      <c r="AH69" s="642">
        <f t="shared" ca="1" si="30"/>
        <v>18.214676450558681</v>
      </c>
      <c r="AI69" s="648">
        <f t="shared" ca="1" si="30"/>
        <v>11.181856649132149</v>
      </c>
      <c r="AJ69" s="644">
        <f t="shared" ca="1" si="30"/>
        <v>16.059760056000002</v>
      </c>
      <c r="AK69" s="711">
        <f t="shared" ca="1" si="30"/>
        <v>23.82757643267934</v>
      </c>
      <c r="AL69" s="686">
        <f t="shared" ca="1" si="30"/>
        <v>24.480326447551541</v>
      </c>
      <c r="AM69" s="685">
        <f t="shared" ca="1" si="30"/>
        <v>15.54170328</v>
      </c>
      <c r="AN69" s="642">
        <f t="shared" ca="1" si="30"/>
        <v>16.805034211615261</v>
      </c>
      <c r="AO69" s="714">
        <f t="shared" ca="1" si="30"/>
        <v>19.459708101493479</v>
      </c>
      <c r="AP69" s="715">
        <f t="shared" ca="1" si="30"/>
        <v>16.059760056000002</v>
      </c>
      <c r="AQ69" s="642">
        <f t="shared" ca="1" si="30"/>
        <v>16.44867753022238</v>
      </c>
      <c r="AR69" s="714">
        <f t="shared" ca="1" si="30"/>
        <v>18.341867960515998</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1164</v>
      </c>
      <c r="C70" s="716">
        <f>(C68/$C$35)*100</f>
        <v>15.445898621906345</v>
      </c>
      <c r="D70" s="717">
        <f ca="1">(D68/$E$35)*100</f>
        <v>14.449274547396513</v>
      </c>
      <c r="E70" s="696">
        <f ca="1">(E68/$E$35)*100</f>
        <v>14.73865696994919</v>
      </c>
      <c r="F70" s="50"/>
      <c r="G70" s="324" t="s">
        <v>868</v>
      </c>
      <c r="H70" s="350" t="s">
        <v>1164</v>
      </c>
      <c r="I70" s="718">
        <f t="shared" ref="I70:T70" ca="1" si="31">(I68/I35)*100</f>
        <v>11.136940171731387</v>
      </c>
      <c r="J70" s="719">
        <f t="shared" ca="1" si="31"/>
        <v>11.109137153172313</v>
      </c>
      <c r="K70" s="720">
        <f t="shared" ca="1" si="31"/>
        <v>10.949769865113483</v>
      </c>
      <c r="L70" s="718">
        <f t="shared" ca="1" si="31"/>
        <v>11.761938304631304</v>
      </c>
      <c r="M70" s="719">
        <f t="shared" ca="1" si="31"/>
        <v>11.657724792345547</v>
      </c>
      <c r="N70" s="720">
        <f t="shared" ca="1" si="31"/>
        <v>11.631276135711621</v>
      </c>
      <c r="O70" s="718">
        <f t="shared" ca="1" si="31"/>
        <v>16.191693520760346</v>
      </c>
      <c r="P70" s="719">
        <f t="shared" ca="1" si="31"/>
        <v>15.303515128468224</v>
      </c>
      <c r="Q70" s="720">
        <f t="shared" ca="1" si="31"/>
        <v>15.855329846093531</v>
      </c>
      <c r="R70" s="718">
        <f t="shared" ca="1" si="31"/>
        <v>26.382637939014092</v>
      </c>
      <c r="S70" s="719">
        <f t="shared" ca="1" si="31"/>
        <v>22.63162636408606</v>
      </c>
      <c r="T70" s="720">
        <f t="shared" ca="1" si="31"/>
        <v>22.924076040636884</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1185</v>
      </c>
      <c r="B71" s="313" t="s">
        <v>837</v>
      </c>
      <c r="C71" s="314">
        <f>D150*D152*D148*0.024*D159</f>
        <v>271076.22000000003</v>
      </c>
      <c r="D71" s="721">
        <f>C71</f>
        <v>271076.22000000003</v>
      </c>
      <c r="E71" s="722">
        <f>C71</f>
        <v>271076.22000000003</v>
      </c>
      <c r="F71" s="381"/>
      <c r="G71" s="306" t="s">
        <v>1185</v>
      </c>
      <c r="H71" s="308" t="s">
        <v>837</v>
      </c>
      <c r="I71" s="315">
        <f ca="1">$D$150*D152*'Ввод исходных данных'!I273*0.024*$D$159</f>
        <v>37348.279200000004</v>
      </c>
      <c r="J71" s="723">
        <f ca="1">IF('Ввод исходных данных'!D217&lt;&gt;0,I71,0)</f>
        <v>37348.279200000004</v>
      </c>
      <c r="K71" s="670">
        <f ca="1">J71</f>
        <v>37348.279200000004</v>
      </c>
      <c r="L71" s="315">
        <f ca="1">$D$150*D152*'Ввод исходных данных'!I274*0.024*$D$159</f>
        <v>33733.929600000003</v>
      </c>
      <c r="M71" s="723">
        <f ca="1">IF('Ввод исходных данных'!D218&lt;&gt;0,L71,0)</f>
        <v>33733.929600000003</v>
      </c>
      <c r="N71" s="670">
        <f ca="1">M71</f>
        <v>33733.929600000003</v>
      </c>
      <c r="O71" s="315">
        <f ca="1">$D$150*D152*'Ввод исходных данных'!I275*0.024*$D$159</f>
        <v>37348.279200000004</v>
      </c>
      <c r="P71" s="723">
        <f ca="1">IF('Ввод исходных данных'!D219&lt;&gt;0,O71,0)</f>
        <v>37348.279200000004</v>
      </c>
      <c r="Q71" s="670">
        <f ca="1">P71</f>
        <v>37348.279200000004</v>
      </c>
      <c r="R71" s="315">
        <f ca="1">$D$150*D152*'Ввод исходных данных'!I276*0.024*$D$159</f>
        <v>36143.495999999999</v>
      </c>
      <c r="S71" s="723">
        <f ca="1">IF('Ввод исходных данных'!D220&lt;&gt;0,R71,0)</f>
        <v>36143.495999999999</v>
      </c>
      <c r="T71" s="670">
        <f ca="1">S71</f>
        <v>36143.495999999999</v>
      </c>
      <c r="U71" s="315">
        <f ca="1">IF(U38=0,0,$D$150*D152*'Ввод исходных данных'!I277*0.024*$D$159)</f>
        <v>15662.181600000002</v>
      </c>
      <c r="V71" s="723">
        <f ca="1">IF('Ввод исходных данных'!D217&lt;&gt;0,U71,0)</f>
        <v>15662.181600000002</v>
      </c>
      <c r="W71" s="670">
        <f ca="1">V71</f>
        <v>15662.181600000002</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 ca="1">IF(AG38=0,0,$D$150*D152*'Ввод исходных данных'!I281*0.024*$D$159)</f>
        <v>14457.398400000002</v>
      </c>
      <c r="AH71" s="723">
        <f ca="1">IF('Ввод исходных данных'!D224&lt;&gt;0,AG71,0)</f>
        <v>14457.398400000002</v>
      </c>
      <c r="AI71" s="670">
        <f ca="1">AH71</f>
        <v>14457.398400000002</v>
      </c>
      <c r="AJ71" s="315">
        <f ca="1">$D$150*D152*'Ввод исходных данных'!I282*0.024*$D$159</f>
        <v>37348.279200000004</v>
      </c>
      <c r="AK71" s="723">
        <f ca="1">IF('Ввод исходных данных'!D225&lt;&gt;0,AJ71,0)</f>
        <v>37348.279200000004</v>
      </c>
      <c r="AL71" s="670">
        <f ca="1">AK71</f>
        <v>37348.279200000004</v>
      </c>
      <c r="AM71" s="315">
        <f ca="1">$D$150*D152*'Ввод исходных данных'!I283*0.024*$D$159</f>
        <v>36143.495999999999</v>
      </c>
      <c r="AN71" s="723">
        <f ca="1">IF('Ввод исходных данных'!D226&lt;&gt;0,AM71,0)</f>
        <v>36143.495999999999</v>
      </c>
      <c r="AO71" s="670">
        <f ca="1">AN71</f>
        <v>36143.495999999999</v>
      </c>
      <c r="AP71" s="315">
        <f ca="1">$D$150*D152*'Ввод исходных данных'!I284*0.024*$D$159</f>
        <v>37348.279200000004</v>
      </c>
      <c r="AQ71" s="724">
        <f ca="1">IF('Ввод исходных данных'!D227&lt;&gt;0,AP71,0)</f>
        <v>37348.279200000004</v>
      </c>
      <c r="AR71" s="670">
        <f ca="1">AQ71</f>
        <v>37348.279200000004</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1167</v>
      </c>
      <c r="C72" s="323">
        <f>0.86*C71/1000</f>
        <v>233.12554919999999</v>
      </c>
      <c r="D72" s="323">
        <f>0.86*D71/1000</f>
        <v>233.12554919999999</v>
      </c>
      <c r="E72" s="323">
        <f>0.86*E71/1000</f>
        <v>233.12554919999999</v>
      </c>
      <c r="F72" s="50"/>
      <c r="G72" s="324" t="s">
        <v>868</v>
      </c>
      <c r="H72" s="325" t="s">
        <v>1167</v>
      </c>
      <c r="I72" s="327">
        <f t="shared" ref="I72:AR72" ca="1" si="32">0.86*I71/1000</f>
        <v>32.119520112000004</v>
      </c>
      <c r="J72" s="326">
        <f t="shared" ca="1" si="32"/>
        <v>32.119520112000004</v>
      </c>
      <c r="K72" s="725">
        <f t="shared" ca="1" si="32"/>
        <v>32.119520112000004</v>
      </c>
      <c r="L72" s="327">
        <f t="shared" ca="1" si="32"/>
        <v>29.011179456000001</v>
      </c>
      <c r="M72" s="326">
        <f t="shared" ca="1" si="32"/>
        <v>29.011179456000001</v>
      </c>
      <c r="N72" s="725">
        <f t="shared" ca="1" si="32"/>
        <v>29.011179456000001</v>
      </c>
      <c r="O72" s="328">
        <f t="shared" ca="1" si="32"/>
        <v>32.119520112000004</v>
      </c>
      <c r="P72" s="326">
        <f t="shared" ca="1" si="32"/>
        <v>32.119520112000004</v>
      </c>
      <c r="Q72" s="725">
        <f t="shared" ca="1" si="32"/>
        <v>32.119520112000004</v>
      </c>
      <c r="R72" s="329">
        <f t="shared" ca="1" si="32"/>
        <v>31.08340656</v>
      </c>
      <c r="S72" s="726">
        <f t="shared" ca="1" si="32"/>
        <v>31.08340656</v>
      </c>
      <c r="T72" s="727">
        <f t="shared" ca="1" si="32"/>
        <v>31.08340656</v>
      </c>
      <c r="U72" s="330">
        <f t="shared" ca="1" si="32"/>
        <v>13.469476176000002</v>
      </c>
      <c r="V72" s="642">
        <f t="shared" ca="1" si="32"/>
        <v>13.469476176000002</v>
      </c>
      <c r="W72" s="648">
        <f t="shared" ca="1" si="32"/>
        <v>13.469476176000002</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ca="1" si="32"/>
        <v>12.433362624000001</v>
      </c>
      <c r="AH72" s="728">
        <f t="shared" ca="1" si="32"/>
        <v>12.433362624000001</v>
      </c>
      <c r="AI72" s="729">
        <f t="shared" ca="1" si="32"/>
        <v>12.433362624000001</v>
      </c>
      <c r="AJ72" s="328">
        <f t="shared" ca="1" si="32"/>
        <v>32.119520112000004</v>
      </c>
      <c r="AK72" s="326">
        <f t="shared" ca="1" si="32"/>
        <v>32.119520112000004</v>
      </c>
      <c r="AL72" s="725">
        <f t="shared" ca="1" si="32"/>
        <v>32.119520112000004</v>
      </c>
      <c r="AM72" s="328">
        <f t="shared" ca="1" si="32"/>
        <v>31.08340656</v>
      </c>
      <c r="AN72" s="326">
        <f t="shared" ca="1" si="32"/>
        <v>31.08340656</v>
      </c>
      <c r="AO72" s="725">
        <f t="shared" ca="1" si="32"/>
        <v>31.08340656</v>
      </c>
      <c r="AP72" s="333">
        <f t="shared" ca="1" si="32"/>
        <v>32.119520112000004</v>
      </c>
      <c r="AQ72" s="402">
        <f t="shared" ca="1" si="32"/>
        <v>32.119520112000004</v>
      </c>
      <c r="AR72" s="730">
        <f t="shared" ca="1" si="32"/>
        <v>32.119520112000004</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1190</v>
      </c>
      <c r="B73" s="290" t="s">
        <v>837</v>
      </c>
      <c r="C73" s="731"/>
      <c r="D73" s="732">
        <f ca="1">D35-$C$35</f>
        <v>184524.91366278427</v>
      </c>
      <c r="E73" s="733">
        <f ca="1">E35-$C$35</f>
        <v>211223.60287874704</v>
      </c>
      <c r="F73" s="50"/>
      <c r="G73" s="306" t="s">
        <v>1190</v>
      </c>
      <c r="H73" s="294" t="s">
        <v>837</v>
      </c>
      <c r="I73" s="335"/>
      <c r="J73" s="572">
        <f ca="1">J35-I35</f>
        <v>2329.8692401220032</v>
      </c>
      <c r="K73" s="570">
        <f ca="1">K35-I35</f>
        <v>17042.042893968144</v>
      </c>
      <c r="L73" s="335"/>
      <c r="M73" s="572">
        <f ca="1">M35-L35</f>
        <v>6997.3875045929453</v>
      </c>
      <c r="N73" s="570">
        <f ca="1">N35-L35</f>
        <v>8883.2849716775527</v>
      </c>
      <c r="O73" s="335"/>
      <c r="P73" s="734">
        <f ca="1">P35-O35</f>
        <v>33338.176557940678</v>
      </c>
      <c r="Q73" s="574">
        <f ca="1">Q35-O35</f>
        <v>10703.331312265916</v>
      </c>
      <c r="R73" s="335"/>
      <c r="S73" s="734">
        <f ca="1">S35-R35</f>
        <v>47922.31269875</v>
      </c>
      <c r="T73" s="574">
        <f ca="1">T35-R35</f>
        <v>41900.539319439646</v>
      </c>
      <c r="U73" s="336"/>
      <c r="V73" s="735">
        <f ca="1">V35-U35</f>
        <v>30950.269021231565</v>
      </c>
      <c r="W73" s="736">
        <f ca="1">W35-U35</f>
        <v>10828.498529564898</v>
      </c>
      <c r="X73" s="335"/>
      <c r="Y73" s="734">
        <f ca="1">Y35-X35</f>
        <v>-5718.4709999999995</v>
      </c>
      <c r="Z73" s="574">
        <f ca="1">Z35-X35</f>
        <v>0</v>
      </c>
      <c r="AA73" s="335"/>
      <c r="AB73" s="734">
        <f ca="1">AB35-AA35</f>
        <v>-4571.7529999999997</v>
      </c>
      <c r="AC73" s="574">
        <f ca="1">AC35-AA35</f>
        <v>0</v>
      </c>
      <c r="AD73" s="358"/>
      <c r="AE73" s="737">
        <f ca="1">AE35-AD35</f>
        <v>-6990.7930000000006</v>
      </c>
      <c r="AF73" s="738">
        <f ca="1">AF35-AD35</f>
        <v>0</v>
      </c>
      <c r="AG73" s="357"/>
      <c r="AH73" s="737">
        <f ca="1">AH35-AG35</f>
        <v>35799.187636524613</v>
      </c>
      <c r="AI73" s="738">
        <f ca="1">AI35-AG35</f>
        <v>14814.912115691288</v>
      </c>
      <c r="AJ73" s="335"/>
      <c r="AK73" s="734">
        <f ca="1">AK35-AJ35</f>
        <v>55532.812447426535</v>
      </c>
      <c r="AL73" s="574">
        <f ca="1">AL35-AJ35</f>
        <v>60199.380552689676</v>
      </c>
      <c r="AM73" s="335"/>
      <c r="AN73" s="734">
        <f ca="1">AN35-AM35</f>
        <v>12492.331860848484</v>
      </c>
      <c r="AO73" s="574">
        <f ca="1">AO35-AM35</f>
        <v>38742.830748172433</v>
      </c>
      <c r="AP73" s="335"/>
      <c r="AQ73" s="572">
        <f ca="1">AQ35-AP35</f>
        <v>4614.4586684548121</v>
      </c>
      <c r="AR73" s="574">
        <f ca="1">AR35-AP35</f>
        <v>27076.933540717582</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1167</v>
      </c>
      <c r="C74" s="340"/>
      <c r="D74" s="339">
        <f ca="1">0.86*D73/1000</f>
        <v>158.69142574999447</v>
      </c>
      <c r="E74" s="621">
        <f ca="1">0.86*E73/1000</f>
        <v>181.65229847572246</v>
      </c>
      <c r="F74" s="50"/>
      <c r="G74" s="341" t="s">
        <v>868</v>
      </c>
      <c r="H74" s="342" t="s">
        <v>1167</v>
      </c>
      <c r="I74" s="344"/>
      <c r="J74" s="343">
        <f ca="1">J36-I36</f>
        <v>1.9773751465049259</v>
      </c>
      <c r="K74" s="739">
        <f ca="1">K36-I36</f>
        <v>14.627567454197219</v>
      </c>
      <c r="L74" s="344"/>
      <c r="M74" s="740">
        <f ca="1">M36-L36</f>
        <v>5.9944754739499331</v>
      </c>
      <c r="N74" s="739">
        <f ca="1">N36-L36</f>
        <v>7.6160554112539955</v>
      </c>
      <c r="O74" s="344"/>
      <c r="P74" s="741">
        <f ca="1">P36-O36</f>
        <v>28.647821899828983</v>
      </c>
      <c r="Q74" s="742">
        <f ca="1">Q36-O36</f>
        <v>9.1853582320089089</v>
      </c>
      <c r="R74" s="344"/>
      <c r="S74" s="741">
        <f ca="1">S36-R36</f>
        <v>41.195170200924998</v>
      </c>
      <c r="T74" s="742">
        <f ca="1">T36-R36</f>
        <v>36.017377097476718</v>
      </c>
      <c r="U74" s="345"/>
      <c r="V74" s="743">
        <f ca="1">V36-U36</f>
        <v>28.440999999999999</v>
      </c>
      <c r="W74" s="744">
        <f ca="1">W36-U36</f>
        <v>11.139391666666667</v>
      </c>
      <c r="X74" s="344"/>
      <c r="Y74" s="741">
        <f ca="1">Y36-X36</f>
        <v>-4.9169999999999998</v>
      </c>
      <c r="Z74" s="742">
        <f ca="1">Z36-X36</f>
        <v>0</v>
      </c>
      <c r="AA74" s="344"/>
      <c r="AB74" s="741">
        <f ca="1">AB36-AA36</f>
        <v>-3.931</v>
      </c>
      <c r="AC74" s="742">
        <f ca="1">AC36-AA36</f>
        <v>0</v>
      </c>
      <c r="AD74" s="344"/>
      <c r="AE74" s="741">
        <f ca="1">AE36-AD36</f>
        <v>-6.0110000000000001</v>
      </c>
      <c r="AF74" s="742">
        <f ca="1">AF36-AD36</f>
        <v>0</v>
      </c>
      <c r="AG74" s="346"/>
      <c r="AH74" s="741">
        <f ca="1">AH36-AG36</f>
        <v>34.299999999999997</v>
      </c>
      <c r="AI74" s="742">
        <f ca="1">AI36-AG36</f>
        <v>16.256770833333331</v>
      </c>
      <c r="AJ74" s="344"/>
      <c r="AK74" s="741">
        <f ca="1">AK36-AJ36</f>
        <v>47.737634444786835</v>
      </c>
      <c r="AL74" s="742">
        <f ca="1">AL36-AJ36</f>
        <v>51.750160760576293</v>
      </c>
      <c r="AM74" s="344"/>
      <c r="AN74" s="741">
        <f ca="1">AN36-AM36</f>
        <v>10.723280140329706</v>
      </c>
      <c r="AO74" s="742">
        <f ca="1">AO36-AM36</f>
        <v>33.294646337512816</v>
      </c>
      <c r="AP74" s="344"/>
      <c r="AQ74" s="343">
        <f ca="1">AQ36-AP36</f>
        <v>3.9440093548711275</v>
      </c>
      <c r="AR74" s="742">
        <f ca="1">AR36-AP36</f>
        <v>23.258261179688645</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1164</v>
      </c>
      <c r="C75" s="340"/>
      <c r="D75" s="349">
        <f ca="1">(D73/$C$35)*100</f>
        <v>21.028425950836901</v>
      </c>
      <c r="E75" s="745">
        <f ca="1">(E73/$C$35)*100</f>
        <v>24.071003768747637</v>
      </c>
      <c r="F75" s="50"/>
      <c r="G75" s="324" t="s">
        <v>868</v>
      </c>
      <c r="H75" s="350" t="s">
        <v>1164</v>
      </c>
      <c r="I75" s="352"/>
      <c r="J75" s="351">
        <f ca="1">(J73/I35)*100</f>
        <v>1.3894945036823017</v>
      </c>
      <c r="K75" s="746">
        <f ca="1">(K73/I35)*100</f>
        <v>10.163585374193262</v>
      </c>
      <c r="L75" s="352"/>
      <c r="M75" s="747">
        <f ca="1">(M73/L35)*100</f>
        <v>4.8795287770221822</v>
      </c>
      <c r="N75" s="746">
        <f ca="1">(N73/L35)*100</f>
        <v>6.1946325861384262</v>
      </c>
      <c r="O75" s="353"/>
      <c r="P75" s="748">
        <f ca="1">IFERROR((P73/O35)*100,0)</f>
        <v>28.906367250632126</v>
      </c>
      <c r="Q75" s="749">
        <f ca="1">IFERROR((Q73/O35)*100,0)</f>
        <v>9.2804843474216803</v>
      </c>
      <c r="R75" s="352"/>
      <c r="S75" s="748">
        <f ca="1">IFERROR((S73/R35)*100,0)</f>
        <v>69.960970301895458</v>
      </c>
      <c r="T75" s="749">
        <f ca="1">IFERROR((T73/R35)*100,0)</f>
        <v>61.169885631107732</v>
      </c>
      <c r="U75" s="354"/>
      <c r="V75" s="748">
        <f ca="1">IFERROR((V73/U35)*100,0)</f>
        <v>1455.3778603089729</v>
      </c>
      <c r="W75" s="749">
        <f ca="1">IFERROR((W73/U35)*100,0)</f>
        <v>509.18966195434774</v>
      </c>
      <c r="X75" s="352"/>
      <c r="Y75" s="748">
        <f ca="1">IFERROR((Y73/X35)*100,0)</f>
        <v>0</v>
      </c>
      <c r="Z75" s="749">
        <f ca="1">IFERROR((Z73/X35)*100,0)</f>
        <v>0</v>
      </c>
      <c r="AA75" s="352"/>
      <c r="AB75" s="748">
        <f ca="1">IFERROR((AB73/AA35)*100,0)</f>
        <v>0</v>
      </c>
      <c r="AC75" s="749">
        <f ca="1">IFERROR((AC73/AA35)*100,0)</f>
        <v>0</v>
      </c>
      <c r="AD75" s="344"/>
      <c r="AE75" s="748">
        <f ca="1">IFERROR((AE73/AD35)*100,0)</f>
        <v>0</v>
      </c>
      <c r="AF75" s="749">
        <f ca="1">IFERROR((AF73/AD35)*100,0)</f>
        <v>0</v>
      </c>
      <c r="AG75" s="346"/>
      <c r="AH75" s="748">
        <f ca="1">IFERROR((AH73/AG35)*100,0)</f>
        <v>874.91945807544164</v>
      </c>
      <c r="AI75" s="749">
        <f ca="1">IFERROR((AI73/AG35)*100,0)</f>
        <v>362.07120148367295</v>
      </c>
      <c r="AJ75" s="352"/>
      <c r="AK75" s="748">
        <f ca="1">IFERROR((AK73/AJ35)*100,0)</f>
        <v>71.68819202459305</v>
      </c>
      <c r="AL75" s="749">
        <f ca="1">IFERROR((AL73/AJ35)*100,0)</f>
        <v>77.712339113175247</v>
      </c>
      <c r="AM75" s="352"/>
      <c r="AN75" s="748">
        <f ca="1">IFERROR((AN73/AM35)*100,0)</f>
        <v>10.628225212966294</v>
      </c>
      <c r="AO75" s="749">
        <f ca="1">IFERROR((AO73/AM35)*100,0)</f>
        <v>32.961622791170761</v>
      </c>
      <c r="AP75" s="352"/>
      <c r="AQ75" s="351">
        <f ca="1">(AQ73/AP35)*100</f>
        <v>3.0120718147464349</v>
      </c>
      <c r="AR75" s="750">
        <f ca="1">(AR73/AP35)*100</f>
        <v>17.674374007356324</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1191</v>
      </c>
      <c r="B76" s="752" t="s">
        <v>1307</v>
      </c>
      <c r="C76" s="753">
        <f>C35/('Ввод исходных данных'!$G$56+'Ввод исходных данных'!D23)</f>
        <v>194.18922354103211</v>
      </c>
      <c r="D76" s="634">
        <f ca="1">D35/('Ввод исходных данных'!$G$56+'Ввод исходных данных'!$D$23)</f>
        <v>235.02416061786317</v>
      </c>
      <c r="E76" s="754">
        <f ca="1">E35/('Ввод исходных данных'!$G$56+'Ввод исходных данных'!$D$23)</f>
        <v>240.9325188580957</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1192</v>
      </c>
      <c r="C77" s="361">
        <f>C76*0.86/1000</f>
        <v>0.16700273224528761</v>
      </c>
      <c r="D77" s="360">
        <f ca="1">D76*0.86/1000</f>
        <v>0.20212077813136234</v>
      </c>
      <c r="E77" s="763">
        <f ca="1">E76*0.86/1000</f>
        <v>0.2072019662179623</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547094.32020619023</v>
      </c>
      <c r="B80" s="370">
        <f>C62</f>
        <v>364994.46531346982</v>
      </c>
      <c r="C80" s="370">
        <f>C65</f>
        <v>100951.58781755572</v>
      </c>
      <c r="D80" s="371">
        <f>C68</f>
        <v>135538.11000000002</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94" t="s">
        <v>1193</v>
      </c>
      <c r="B82" s="2494"/>
      <c r="C82" s="2494"/>
      <c r="D82" s="2494"/>
      <c r="E82" s="372"/>
      <c r="F82" s="372"/>
      <c r="G82" s="373" t="s">
        <v>1194</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83" t="s">
        <v>829</v>
      </c>
      <c r="B83" s="2460" t="s">
        <v>1157</v>
      </c>
      <c r="C83" s="2487" t="s">
        <v>1158</v>
      </c>
      <c r="D83" s="2466" t="s">
        <v>1159</v>
      </c>
      <c r="E83" s="50"/>
      <c r="F83" s="50"/>
      <c r="G83" s="2458" t="s">
        <v>829</v>
      </c>
      <c r="H83" s="2460" t="s">
        <v>1157</v>
      </c>
      <c r="I83" s="2468" t="s">
        <v>488</v>
      </c>
      <c r="J83" s="2470"/>
      <c r="K83" s="2468" t="s">
        <v>489</v>
      </c>
      <c r="L83" s="2470"/>
      <c r="M83" s="2468" t="s">
        <v>490</v>
      </c>
      <c r="N83" s="2470"/>
      <c r="O83" s="2468" t="s">
        <v>491</v>
      </c>
      <c r="P83" s="2470"/>
      <c r="Q83" s="2468" t="s">
        <v>800</v>
      </c>
      <c r="R83" s="2470"/>
      <c r="S83" s="2468" t="s">
        <v>801</v>
      </c>
      <c r="T83" s="2470"/>
      <c r="U83" s="2468" t="s">
        <v>802</v>
      </c>
      <c r="V83" s="2470"/>
      <c r="W83" s="2468" t="s">
        <v>803</v>
      </c>
      <c r="X83" s="2470"/>
      <c r="Y83" s="2468" t="s">
        <v>804</v>
      </c>
      <c r="Z83" s="2470"/>
      <c r="AA83" s="2468" t="s">
        <v>482</v>
      </c>
      <c r="AB83" s="2470"/>
      <c r="AC83" s="2468" t="s">
        <v>486</v>
      </c>
      <c r="AD83" s="2470"/>
      <c r="AE83" s="2468" t="s">
        <v>487</v>
      </c>
      <c r="AF83" s="247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84"/>
      <c r="B84" s="2461"/>
      <c r="C84" s="2488"/>
      <c r="D84" s="2467"/>
      <c r="E84" s="50"/>
      <c r="F84" s="50"/>
      <c r="G84" s="2459"/>
      <c r="H84" s="2461"/>
      <c r="I84" s="480" t="s">
        <v>1158</v>
      </c>
      <c r="J84" s="765" t="s">
        <v>1159</v>
      </c>
      <c r="K84" s="480" t="s">
        <v>1158</v>
      </c>
      <c r="L84" s="765" t="s">
        <v>1159</v>
      </c>
      <c r="M84" s="480" t="s">
        <v>1158</v>
      </c>
      <c r="N84" s="765" t="s">
        <v>1159</v>
      </c>
      <c r="O84" s="480" t="s">
        <v>1158</v>
      </c>
      <c r="P84" s="765" t="s">
        <v>1159</v>
      </c>
      <c r="Q84" s="480" t="s">
        <v>1158</v>
      </c>
      <c r="R84" s="765" t="s">
        <v>1159</v>
      </c>
      <c r="S84" s="480" t="s">
        <v>1158</v>
      </c>
      <c r="T84" s="765" t="s">
        <v>1159</v>
      </c>
      <c r="U84" s="480" t="s">
        <v>1158</v>
      </c>
      <c r="V84" s="765" t="s">
        <v>1159</v>
      </c>
      <c r="W84" s="480" t="s">
        <v>1158</v>
      </c>
      <c r="X84" s="765" t="s">
        <v>1159</v>
      </c>
      <c r="Y84" s="480" t="s">
        <v>1158</v>
      </c>
      <c r="Z84" s="765" t="s">
        <v>1159</v>
      </c>
      <c r="AA84" s="480" t="s">
        <v>1158</v>
      </c>
      <c r="AB84" s="765" t="s">
        <v>1159</v>
      </c>
      <c r="AC84" s="480" t="s">
        <v>1158</v>
      </c>
      <c r="AD84" s="765" t="s">
        <v>1159</v>
      </c>
      <c r="AE84" s="480" t="s">
        <v>1158</v>
      </c>
      <c r="AF84" s="765" t="s">
        <v>1159</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1195</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467619.70554208959</v>
      </c>
      <c r="D85" s="769">
        <f ca="1">IF('Система ГВС'!F3=2,0,D86*1163)</f>
        <v>494927.44299999997</v>
      </c>
      <c r="E85" s="50"/>
      <c r="F85" s="285"/>
      <c r="G85" s="770" t="s">
        <v>1196</v>
      </c>
      <c r="H85" s="771" t="s">
        <v>837</v>
      </c>
      <c r="I85" s="772">
        <f>(0.024* (G169*($D$176-IF(G148&gt;=0.8*G167,$D$177,списки!$C$61))*1*$D$179)/(3.6*24*$D$181))*(G172*$D$178+G148+(G172-G148))*(1-0.4*'Ввод исходных данных'!$D$21/'Ввод исходных данных'!$D$20)*'Ввод исходных данных'!$G$56*'Система ГВС'!$H$4</f>
        <v>44433.544566653443</v>
      </c>
      <c r="J85" s="773">
        <f ca="1">J86*1163*'Система ГВС'!$H$4</f>
        <v>45322.11</v>
      </c>
      <c r="K85" s="772">
        <f>(0.024* (H169*($D$176-IF(H148&gt;=0.8*H167,$D$177,списки!$C$61))*1*$D$179)/(3.6*24*$D$181))*(H172*$D$178+H148+(H172-H148))*(1-0.4*'Ввод исходных данных'!$D$21/'Ввод исходных данных'!$D$20)*'Ввод исходных данных'!$G$56*'Система ГВС'!$H$4</f>
        <v>40133.524124719239</v>
      </c>
      <c r="L85" s="773">
        <f ca="1">L86*1163*'Система ГВС'!$H$4</f>
        <v>40913.177000000003</v>
      </c>
      <c r="M85" s="772">
        <f>(0.024* (I169*($D$176-IF(I148&gt;=0.8*I167,$D$177,списки!$C$61))*1*$D$179)/(3.6*24*$D$181))*(I172*$D$178+I148+(I172-I148))*(1-0.4*'Ввод исходных данных'!$D$21/'Ввод исходных данных'!$D$20)*'Ввод исходных данных'!$G$56*'Система ГВС'!$H$4</f>
        <v>44433.544566653443</v>
      </c>
      <c r="N85" s="774">
        <f ca="1">N86*1163*'Система ГВС'!$H$4</f>
        <v>45213.951000000001</v>
      </c>
      <c r="O85" s="772">
        <f>(0.024* (J169*($D$176-IF(J148&gt;=0.8*J167,$D$177,списки!$C$61))*1*$D$179)/(3.6*24*$D$181))*(J172*$D$178+J148+(J172-J148))*(1-0.4*'Ввод исходных данных'!$D$21/'Ввод исходных данных'!$D$20)*'Ввод исходных данных'!$G$56*'Система ГВС'!$H$4</f>
        <v>43000.204419342044</v>
      </c>
      <c r="P85" s="773">
        <f ca="1">P86*1163*'Система ГВС'!$H$4</f>
        <v>42619.298000000003</v>
      </c>
      <c r="Q85" s="772">
        <f>(0.024* (K169*($D$176-IF(K148&gt;=0.8*K167,$D$177,списки!$C$61))*1*$D$179)/(3.6*24*$D$181))*(K172*$D$178+K148+(K172-K148))*(1-0.4*'Ввод исходных данных'!$D$21/'Ввод исходных данных'!$D$20)*'Ввод исходных данных'!$G$56*'Система ГВС'!$H$4</f>
        <v>32719.246453626631</v>
      </c>
      <c r="R85" s="775">
        <f ca="1">R86*1163*'Система ГВС'!$H$4</f>
        <v>43588.076999999997</v>
      </c>
      <c r="S85" s="772">
        <f>(0.024* (L169*($D$176-IF(L148&gt;=0.8*L167,$D$177,списки!$C$61))*1*$D$179)/(3.6*24*$D$181))*(L172*$D$178+L148+(L172-L148))*(1-0.4*'Ввод исходных данных'!$D$21/'Ввод исходных данных'!$D$20)*'Ввод исходных данных'!$G$56*'Система ГВС'!$H$4</f>
        <v>31663.786890606418</v>
      </c>
      <c r="T85" s="775">
        <f ca="1">T86*1163*'Система ГВС'!$H$4</f>
        <v>38619.741000000002</v>
      </c>
      <c r="U85" s="772">
        <f>(0.024* (M169*($D$176-IF(M148&gt;=0.8*M167,$D$177,списки!$C$61))*1*$D$179)/(3.6*24*$D$181))*(M172*$D$178+M148+(M172-M148))*(1-0.4*'Ввод исходных данных'!$D$21/'Ввод исходных данных'!$D$20)*'Ввод исходных данных'!$G$56*'Система ГВС'!$H$4</f>
        <v>18998.272134363851</v>
      </c>
      <c r="V85" s="774">
        <f ca="1">V86*1163*'Система ГВС'!$H$4</f>
        <v>21318.952999999998</v>
      </c>
      <c r="W85" s="772">
        <f>(0.024* (N169*($D$176-IF(N148&gt;=0.8*N167,$D$177,списки!$C$61))*1*$D$179)/(3.6*24*$D$181))*(N172*$D$178+N148+(N172-N148))*(1-0.4*'Ввод исходных данных'!$D$21/'Ввод исходных данных'!$D$20)*'Ввод исходных данных'!$G$56*'Система ГВС'!$H$4</f>
        <v>32719.246453626631</v>
      </c>
      <c r="X85" s="773">
        <f ca="1">X86*1163*'Система ГВС'!$H$4</f>
        <v>36205.353000000003</v>
      </c>
      <c r="Y85" s="772">
        <f>(0.024* (O169*($D$176-IF(G148&gt;=0.8*O167,$D$177,списки!$C$61))*1*$D$179)/(3.6*24*$D$181))*(O172*$D$178+O148+(O172-O148))*(1-0.4*'Ввод исходных данных'!$D$21/'Ввод исходных данных'!$D$20)*'Ввод исходных данных'!$G$56*'Система ГВС'!$H$4</f>
        <v>38700.18397740784</v>
      </c>
      <c r="Z85" s="773">
        <f ca="1">Z86*1163*'Система ГВС'!$H$4</f>
        <v>39297.769999999997</v>
      </c>
      <c r="AA85" s="772">
        <f>(0.024* (P169*($D$176-IF(P148&gt;=0.8*P167,$D$177,списки!$C$61))*1*$D$179)/(3.6*24*$D$181))*(P172*$D$178+P148+(P172-P148))*(1-0.4*'Ввод исходных данных'!$D$21/'Ввод исходных данных'!$D$20)*'Ввод исходных данных'!$G$56*'Система ГВС'!$H$4</f>
        <v>44433.544566653443</v>
      </c>
      <c r="AB85" s="773">
        <f ca="1">AB86*1163*'Система ГВС'!$H$4</f>
        <v>46221.109000000004</v>
      </c>
      <c r="AC85" s="772">
        <f>(0.024* (Q169*($D$176-IF(Q148&gt;=0.8*Q167,$D$177,списки!$C$61))*1*$D$179)/(3.6*24*$D$181))*(Q172*$D$178+Q148+(Q172-Q148))*(1-0.4*'Ввод исходных данных'!$D$21/'Ввод исходных данных'!$D$20)*'Ввод исходных данных'!$G$56*'Система ГВС'!$H$4</f>
        <v>43000.204419342044</v>
      </c>
      <c r="AD85" s="773">
        <f ca="1">AD86*1163*'Система ГВС'!$H$4</f>
        <v>47849.309000000001</v>
      </c>
      <c r="AE85" s="772">
        <f>(0.024* (R169*($D$176-IF(R148&gt;=0.8*R167,$D$177,списки!$C$61))*1*$D$179)/(3.6*24*$D$181))*(R172*$D$178+R148+(R172-R148))*(1-0.4*'Ввод исходных данных'!$D$21/'Ввод исходных данных'!$D$20)*'Ввод исходных данных'!$G$56*'Система ГВС'!$H$4</f>
        <v>44433.544566653443</v>
      </c>
      <c r="AF85" s="773">
        <f ca="1">AF86*1163*'Система ГВС'!$H$4</f>
        <v>47758.594999999994</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1167</v>
      </c>
      <c r="C86" s="777">
        <f>0.86*C85/1000</f>
        <v>402.15294676619703</v>
      </c>
      <c r="D86" s="778">
        <f ca="1">IF('Система ГВС'!F3=2,0,'Ввод исходных данных'!K229)</f>
        <v>425.56099999999998</v>
      </c>
      <c r="E86" s="50"/>
      <c r="F86" s="50"/>
      <c r="G86" s="506" t="s">
        <v>868</v>
      </c>
      <c r="H86" s="507" t="s">
        <v>1167</v>
      </c>
      <c r="I86" s="327">
        <f>0.86*I85/1000</f>
        <v>38.212848327321964</v>
      </c>
      <c r="J86" s="779">
        <f ca="1">'Ввод исходных данных'!K217*'Система ГВС'!$H$4</f>
        <v>38.97</v>
      </c>
      <c r="K86" s="327">
        <f>0.86*K85/1000</f>
        <v>34.514830747258543</v>
      </c>
      <c r="L86" s="779">
        <f ca="1">'Ввод исходных данных'!K218*'Система ГВС'!$H$4</f>
        <v>35.179000000000002</v>
      </c>
      <c r="M86" s="780">
        <f>0.86*M85/1000</f>
        <v>38.212848327321964</v>
      </c>
      <c r="N86" s="781">
        <f ca="1">'Ввод исходных данных'!K219*'Система ГВС'!$H$4</f>
        <v>38.877000000000002</v>
      </c>
      <c r="O86" s="327">
        <f>0.86*O85/1000</f>
        <v>36.980175800634157</v>
      </c>
      <c r="P86" s="779">
        <f ca="1">'Ввод исходных данных'!K220*'Система ГВС'!$H$4</f>
        <v>36.646000000000001</v>
      </c>
      <c r="Q86" s="780">
        <f>0.86*Q85/1000</f>
        <v>28.138551950118902</v>
      </c>
      <c r="R86" s="782">
        <f ca="1">'Ввод исходных данных'!K221*'Система ГВС'!$H$4</f>
        <v>37.478999999999999</v>
      </c>
      <c r="S86" s="726">
        <f>0.86*S85/1000</f>
        <v>27.23085672592152</v>
      </c>
      <c r="T86" s="783">
        <f ca="1">'Ввод исходных данных'!K222*'Система ГВС'!$H$4</f>
        <v>33.207000000000001</v>
      </c>
      <c r="U86" s="726">
        <f>0.86*U85/1000</f>
        <v>16.338514035552912</v>
      </c>
      <c r="V86" s="784">
        <f ca="1">'Ввод исходных данных'!K223*'Система ГВС'!$H$4</f>
        <v>18.331</v>
      </c>
      <c r="W86" s="328">
        <f>0.86*W85/1000</f>
        <v>28.138551950118902</v>
      </c>
      <c r="X86" s="564">
        <f ca="1">'Ввод исходных данных'!K224*'Система ГВС'!$H$4</f>
        <v>31.131</v>
      </c>
      <c r="Y86" s="328">
        <f>0.86*Y85/1000</f>
        <v>33.282158220570736</v>
      </c>
      <c r="Z86" s="564">
        <f ca="1">'Ввод исходных данных'!K225*'Система ГВС'!$H$4</f>
        <v>33.79</v>
      </c>
      <c r="AA86" s="328">
        <f>0.86*AA85/1000</f>
        <v>38.212848327321964</v>
      </c>
      <c r="AB86" s="564">
        <f ca="1">'Ввод исходных данных'!K226*'Система ГВС'!$H$4</f>
        <v>39.743000000000002</v>
      </c>
      <c r="AC86" s="328">
        <f>0.86*AC85/1000</f>
        <v>36.980175800634157</v>
      </c>
      <c r="AD86" s="785">
        <f ca="1">'Ввод исходных данных'!K227*'Система ГВС'!$H$4</f>
        <v>41.143000000000001</v>
      </c>
      <c r="AE86" s="327">
        <f>0.86*AE85/1000</f>
        <v>38.212848327321964</v>
      </c>
      <c r="AF86" s="785">
        <f ca="1">'Ввод исходных данных'!K228*'Система ГВС'!$H$4</f>
        <v>41.064999999999998</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1197</v>
      </c>
      <c r="B87" s="787" t="s">
        <v>837</v>
      </c>
      <c r="C87" s="788"/>
      <c r="D87" s="789">
        <f ca="1">D85-C85</f>
        <v>27307.737457910378</v>
      </c>
      <c r="E87" s="50"/>
      <c r="F87" s="50"/>
      <c r="G87" s="790" t="s">
        <v>1198</v>
      </c>
      <c r="H87" s="771" t="s">
        <v>837</v>
      </c>
      <c r="I87" s="791"/>
      <c r="J87" s="792">
        <f ca="1">J85-I85</f>
        <v>888.56543334655726</v>
      </c>
      <c r="K87" s="791"/>
      <c r="L87" s="792">
        <f ca="1">L85-K85</f>
        <v>779.65287528076442</v>
      </c>
      <c r="M87" s="791"/>
      <c r="N87" s="792">
        <f ca="1">N85-M85</f>
        <v>780.40643334655761</v>
      </c>
      <c r="O87" s="791"/>
      <c r="P87" s="792">
        <f ca="1">P85-O85</f>
        <v>-380.90641934204177</v>
      </c>
      <c r="Q87" s="791"/>
      <c r="R87" s="792">
        <f ca="1">R85-Q85</f>
        <v>10868.830546373367</v>
      </c>
      <c r="S87" s="791"/>
      <c r="T87" s="792">
        <f ca="1">T85-S85</f>
        <v>6955.9541093935841</v>
      </c>
      <c r="U87" s="791"/>
      <c r="V87" s="792">
        <f ca="1">V85-U85</f>
        <v>2320.6808656361463</v>
      </c>
      <c r="W87" s="791"/>
      <c r="X87" s="792">
        <f ca="1">X85-W85</f>
        <v>3486.1065463733721</v>
      </c>
      <c r="Y87" s="791"/>
      <c r="Z87" s="792">
        <f ca="1">Z85-Y85</f>
        <v>597.58602259215695</v>
      </c>
      <c r="AA87" s="791"/>
      <c r="AB87" s="792">
        <f ca="1">AB85-AA85</f>
        <v>1787.5644333465607</v>
      </c>
      <c r="AC87" s="791"/>
      <c r="AD87" s="792">
        <f ca="1">AD85-AC85</f>
        <v>4849.1045806579568</v>
      </c>
      <c r="AE87" s="791"/>
      <c r="AF87" s="792">
        <f ca="1">AF85-AE85</f>
        <v>3325.0504333465506</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1167</v>
      </c>
      <c r="C88" s="793"/>
      <c r="D88" s="794">
        <f ca="1">D86-C86</f>
        <v>23.408053233802946</v>
      </c>
      <c r="E88" s="50"/>
      <c r="F88" s="50"/>
      <c r="G88" s="795" t="s">
        <v>868</v>
      </c>
      <c r="H88" s="796" t="s">
        <v>1167</v>
      </c>
      <c r="I88" s="580"/>
      <c r="J88" s="577">
        <f ca="1">J86-I86</f>
        <v>0.75715167267803452</v>
      </c>
      <c r="K88" s="580"/>
      <c r="L88" s="577">
        <f ca="1">L86-K86</f>
        <v>0.6641692527414591</v>
      </c>
      <c r="M88" s="580"/>
      <c r="N88" s="577">
        <f ca="1">N86-M86</f>
        <v>0.6641516726780381</v>
      </c>
      <c r="O88" s="580"/>
      <c r="P88" s="577">
        <f ca="1">P86-O86</f>
        <v>-0.33417580063415642</v>
      </c>
      <c r="Q88" s="580"/>
      <c r="R88" s="577">
        <f ca="1">R86-Q86</f>
        <v>9.3404480498810969</v>
      </c>
      <c r="S88" s="580"/>
      <c r="T88" s="577">
        <f ca="1">T86-S86</f>
        <v>5.9761432740784812</v>
      </c>
      <c r="U88" s="580"/>
      <c r="V88" s="577">
        <f ca="1">V86-U86</f>
        <v>1.9924859644470878</v>
      </c>
      <c r="W88" s="580"/>
      <c r="X88" s="577">
        <f ca="1">X86-W86</f>
        <v>2.9924480498810979</v>
      </c>
      <c r="Y88" s="580"/>
      <c r="Z88" s="577">
        <f ca="1">Z86-Y86</f>
        <v>0.50784177942926334</v>
      </c>
      <c r="AA88" s="580"/>
      <c r="AB88" s="577">
        <f ca="1">AB86-AA86</f>
        <v>1.5301516726780378</v>
      </c>
      <c r="AC88" s="580"/>
      <c r="AD88" s="577">
        <f ca="1">AD86-AC86</f>
        <v>4.1628241993658435</v>
      </c>
      <c r="AE88" s="580"/>
      <c r="AF88" s="577">
        <f ca="1">AF86-AE86</f>
        <v>2.8521516726780334</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1164</v>
      </c>
      <c r="C89" s="797"/>
      <c r="D89" s="798">
        <f ca="1">IF('Система ГВС'!F3=2,0,(D87/C85)*100)</f>
        <v>5.839731973282392</v>
      </c>
      <c r="E89" s="50"/>
      <c r="F89" s="50"/>
      <c r="G89" s="506" t="s">
        <v>868</v>
      </c>
      <c r="H89" s="507" t="s">
        <v>1164</v>
      </c>
      <c r="I89" s="592"/>
      <c r="J89" s="799">
        <f ca="1">(J87/I85)*100</f>
        <v>1.999762661323691</v>
      </c>
      <c r="K89" s="592"/>
      <c r="L89" s="799">
        <f ca="1">(L87/K85)*100</f>
        <v>1.9426474307561663</v>
      </c>
      <c r="M89" s="592"/>
      <c r="N89" s="799">
        <f ca="1">(N87/M85)*100</f>
        <v>1.7563452138640281</v>
      </c>
      <c r="O89" s="592"/>
      <c r="P89" s="799">
        <f ca="1">(P87/O85)*100</f>
        <v>-0.88582467103506413</v>
      </c>
      <c r="Q89" s="592"/>
      <c r="R89" s="799">
        <f ca="1">(R87/Q85)*100</f>
        <v>33.2184622949</v>
      </c>
      <c r="S89" s="592"/>
      <c r="T89" s="799">
        <f ca="1">(T87/S85)*100</f>
        <v>21.968168663544102</v>
      </c>
      <c r="U89" s="592"/>
      <c r="V89" s="799">
        <f ca="1">(V87/U85)*100</f>
        <v>12.215220674929306</v>
      </c>
      <c r="W89" s="592"/>
      <c r="X89" s="799">
        <f ca="1">(X87/W85)*100</f>
        <v>10.65460523766729</v>
      </c>
      <c r="Y89" s="592"/>
      <c r="Z89" s="799">
        <f ca="1">(Z87/Y85)*100</f>
        <v>1.5441425884202826</v>
      </c>
      <c r="AA89" s="592"/>
      <c r="AB89" s="799">
        <f ca="1">(AB87/AA85)*100</f>
        <v>4.0230066063378951</v>
      </c>
      <c r="AC89" s="592"/>
      <c r="AD89" s="799">
        <f ca="1">(AD87/AC85)*100</f>
        <v>11.276933787032807</v>
      </c>
      <c r="AE89" s="592"/>
      <c r="AF89" s="799">
        <f ca="1">(AF87/AE85)*100</f>
        <v>7.483198708936535</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1199</v>
      </c>
      <c r="B90" s="801" t="s">
        <v>1306</v>
      </c>
      <c r="C90" s="802">
        <f>IF('Система ГВС'!F3=2,0,D170*365*'Ввод исходных данных'!$D$22/1000*(1-0.4*'Ввод исходных данных'!D21/'Ввод исходных данных'!D20))</f>
        <v>5830.1575862068967</v>
      </c>
      <c r="D90" s="803">
        <f>IF('Система ГВС'!F3=2,0,'Ввод исходных данных'!F248)</f>
        <v>3083.2000000000003</v>
      </c>
      <c r="E90" s="50"/>
      <c r="F90" s="285"/>
      <c r="G90" s="804" t="s">
        <v>1202</v>
      </c>
      <c r="H90" s="801" t="s">
        <v>1306</v>
      </c>
      <c r="I90" s="805">
        <f>G169*G172*'Ввод исходных данных'!$D$22/1000*(1-0.4*'Ввод исходных данных'!D21/'Ввод исходных данных'!D20)*'Система ГВС'!$H$4</f>
        <v>532.66986493490651</v>
      </c>
      <c r="J90" s="806">
        <f>'Ввод исходных данных'!F236*'Система ГВС'!$H$4</f>
        <v>278.10000000000002</v>
      </c>
      <c r="K90" s="805">
        <f>H169*H167*'Ввод исходных данных'!$D$22/1000*(1-0.4*'Ввод исходных данных'!D21/'Ввод исходных данных'!D20)*'Система ГВС'!$H$4</f>
        <v>481.12116832830259</v>
      </c>
      <c r="L90" s="806">
        <f>'Ввод исходных данных'!$F$237*'Система ГВС'!$H$4</f>
        <v>250.9</v>
      </c>
      <c r="M90" s="805">
        <f>I169*I167*'Ввод исходных данных'!$D$22/1000*(1-0.4*'Ввод исходных данных'!D21/'Ввод исходных данных'!D20)*'Система ГВС'!$H$4</f>
        <v>532.66986493490651</v>
      </c>
      <c r="N90" s="806">
        <f>'Ввод исходных данных'!$F$238*'Система ГВС'!$H$4</f>
        <v>276.8</v>
      </c>
      <c r="O90" s="805">
        <f>J169*J167*'Ввод исходных данных'!$D$22/1000*(1-0.4*'Ввод исходных данных'!D21/'Ввод исходных данных'!D20)*'Система ГВС'!$H$4</f>
        <v>515.48696606603858</v>
      </c>
      <c r="P90" s="806">
        <f>'Ввод исходных данных'!$F$239*'Система ГВС'!$H$4</f>
        <v>254.2</v>
      </c>
      <c r="Q90" s="805">
        <f>K169*K167*'Ввод исходных данных'!$D$22/1000*(1-0.4*'Ввод исходных данных'!D21/'Ввод исходных данных'!D20)*'Система ГВС'!$H$4</f>
        <v>479.40287844141585</v>
      </c>
      <c r="R90" s="806">
        <f>'Ввод исходных данных'!$F$240*'Система ГВС'!$H$4</f>
        <v>287.60000000000002</v>
      </c>
      <c r="S90" s="805">
        <f>L169*L167*'Ввод исходных данных'!$D$22/1000*(1-0.4*'Ввод исходных данных'!D21/'Ввод исходных данных'!D20)*'Система ГВС'!$H$4</f>
        <v>463.93826945943482</v>
      </c>
      <c r="T90" s="806">
        <f>'Ввод исходных данных'!$F$241*'Система ГВС'!$H$4</f>
        <v>251.9</v>
      </c>
      <c r="U90" s="805">
        <f>M169*M172*'Ввод исходных данных'!$D$22/1000*(1-0.4*'Ввод исходных данных'!D21/'Ввод исходных данных'!D20)*'Система ГВС'!$H$4</f>
        <v>278.36296167566087</v>
      </c>
      <c r="V90" s="806">
        <f>'Ввод исходных данных'!$F$242*'Система ГВС'!$H$4</f>
        <v>123.9</v>
      </c>
      <c r="W90" s="805">
        <f>N169*N167*'Ввод исходных данных'!$D$22/1000*(1-0.4*'Ввод исходных данных'!D21/'Ввод исходных данных'!D20)*'Система ГВС'!$H$4</f>
        <v>479.40287844141585</v>
      </c>
      <c r="X90" s="807">
        <f>'Ввод исходных данных'!$F$243*'Система ГВС'!$H$4</f>
        <v>205.9</v>
      </c>
      <c r="Y90" s="805">
        <f>O169*O167*'Ввод исходных данных'!$D$22/1000*(1-0.4*'Ввод исходных данных'!D21/'Ввод исходных данных'!D20)*'Система ГВС'!$H$4</f>
        <v>463.93826945943482</v>
      </c>
      <c r="Z90" s="808">
        <f>'Ввод исходных данных'!$F$244*'Система ГВС'!$H$4</f>
        <v>240.5</v>
      </c>
      <c r="AA90" s="805">
        <f>P169*P167*'Ввод исходных данных'!$D$22/1000*(1-0.4*'Ввод исходных данных'!D21/'Ввод исходных данных'!D20)*'Система ГВС'!$H$4</f>
        <v>532.66986493490651</v>
      </c>
      <c r="AB90" s="807">
        <f>'Ввод исходных данных'!$F$245*'Система ГВС'!$H$4</f>
        <v>288.89999999999998</v>
      </c>
      <c r="AC90" s="805">
        <f>Q169*Q167*'Ввод исходных данных'!$D$22/1000*(1-0.4*'Ввод исходных данных'!D21/'Ввод исходных данных'!D20)*'Система ГВС'!$H$4</f>
        <v>515.48696606603858</v>
      </c>
      <c r="AD90" s="809">
        <f>'Ввод исходных данных'!$F$246*'Система ГВС'!$H$4</f>
        <v>317.10000000000002</v>
      </c>
      <c r="AE90" s="805">
        <f>R169*R167*'Ввод исходных данных'!$D$22/1000*(1-0.4*'Ввод исходных данных'!D21/'Ввод исходных данных'!D20)*'Система ГВС'!$H$4</f>
        <v>532.66986493490651</v>
      </c>
      <c r="AF90" s="626">
        <f>'Ввод исходных данных'!$F$247*'Система ГВС'!$H$4</f>
        <v>307.39999999999998</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1201</v>
      </c>
      <c r="B91" s="810" t="s">
        <v>1200</v>
      </c>
      <c r="C91" s="788"/>
      <c r="D91" s="811">
        <f>D90-C90</f>
        <v>-2746.9575862068964</v>
      </c>
      <c r="E91" s="50"/>
      <c r="F91" s="50"/>
      <c r="G91" s="790" t="s">
        <v>1203</v>
      </c>
      <c r="H91" s="771" t="s">
        <v>1200</v>
      </c>
      <c r="I91" s="812"/>
      <c r="J91" s="792">
        <f>J90-I90</f>
        <v>-254.56986493490649</v>
      </c>
      <c r="K91" s="812"/>
      <c r="L91" s="792">
        <f>L90-K90</f>
        <v>-230.22116832830258</v>
      </c>
      <c r="M91" s="812"/>
      <c r="N91" s="792">
        <f>N90-M90</f>
        <v>-255.8698649349065</v>
      </c>
      <c r="O91" s="812"/>
      <c r="P91" s="792">
        <f>P90-O90</f>
        <v>-261.28696606603859</v>
      </c>
      <c r="Q91" s="791"/>
      <c r="R91" s="792">
        <f>R90-Q90</f>
        <v>-191.80287844141583</v>
      </c>
      <c r="S91" s="812"/>
      <c r="T91" s="792">
        <f>T90-S90</f>
        <v>-212.03826945943482</v>
      </c>
      <c r="U91" s="791"/>
      <c r="V91" s="792">
        <f>V90-U90</f>
        <v>-154.46296167566086</v>
      </c>
      <c r="W91" s="791"/>
      <c r="X91" s="792">
        <f>X90-W90</f>
        <v>-273.50287844141587</v>
      </c>
      <c r="Y91" s="791"/>
      <c r="Z91" s="792">
        <f>Z90-Y90</f>
        <v>-223.43826945943482</v>
      </c>
      <c r="AA91" s="812"/>
      <c r="AB91" s="813">
        <f>AB90-AA90</f>
        <v>-243.76986493490654</v>
      </c>
      <c r="AC91" s="97"/>
      <c r="AD91" s="814">
        <f>AD90-AC90</f>
        <v>-198.38696606603855</v>
      </c>
      <c r="AE91" s="791"/>
      <c r="AF91" s="792">
        <f>AF90-AE90</f>
        <v>-225.26986493490654</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1164</v>
      </c>
      <c r="C92" s="797"/>
      <c r="D92" s="815">
        <f>IF('Система ГВС'!F3=2,0,(D91/C90)*100)</f>
        <v>-47.116352269888957</v>
      </c>
      <c r="E92" s="50"/>
      <c r="F92" s="50"/>
      <c r="G92" s="506" t="s">
        <v>868</v>
      </c>
      <c r="H92" s="507" t="s">
        <v>1164</v>
      </c>
      <c r="I92" s="584"/>
      <c r="J92" s="816">
        <f>(J91/I90)*100</f>
        <v>-47.791302210425499</v>
      </c>
      <c r="K92" s="584"/>
      <c r="L92" s="816">
        <f>(L91/K90)*100</f>
        <v>-47.850974657429042</v>
      </c>
      <c r="M92" s="584"/>
      <c r="N92" s="816">
        <f>(N91/M90)*100</f>
        <v>-48.035355813900679</v>
      </c>
      <c r="O92" s="584"/>
      <c r="P92" s="816">
        <f>(P91/O90)*100</f>
        <v>-50.687404971664272</v>
      </c>
      <c r="Q92" s="592"/>
      <c r="R92" s="799">
        <f>(R91/Q90)*100</f>
        <v>-40.008703966272613</v>
      </c>
      <c r="S92" s="584"/>
      <c r="T92" s="799">
        <f>(T91/S90)*100</f>
        <v>-45.703983356771715</v>
      </c>
      <c r="U92" s="592"/>
      <c r="V92" s="799">
        <f>(V91/U90)*100</f>
        <v>-55.489768015773556</v>
      </c>
      <c r="W92" s="592"/>
      <c r="X92" s="799">
        <f>(X91/W90)*100</f>
        <v>-57.050737644838435</v>
      </c>
      <c r="Y92" s="592"/>
      <c r="Z92" s="799">
        <f>(Z91/Y90)*100</f>
        <v>-48.161206817402139</v>
      </c>
      <c r="AA92" s="584"/>
      <c r="AB92" s="799">
        <f>(AB91/AA90)*100</f>
        <v>-45.763779966170191</v>
      </c>
      <c r="AC92" s="582"/>
      <c r="AD92" s="799">
        <f>(AD91/AC90)*100</f>
        <v>-38.485350576375851</v>
      </c>
      <c r="AE92" s="592"/>
      <c r="AF92" s="799">
        <f>(AF91/AE90)*100</f>
        <v>-42.290709455177279</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1204</v>
      </c>
      <c r="B93" s="787" t="s">
        <v>1173</v>
      </c>
      <c r="C93" s="817">
        <f>C85/('Ввод исходных данных'!$G$56+'Ввод исходных данных'!$D$23)</f>
        <v>103.48316047226909</v>
      </c>
      <c r="D93" s="818">
        <f ca="1">D85/('Ввод исходных данных'!$G$56+'Ввод исходных данных'!$D$23)</f>
        <v>109.52629968133131</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1192</v>
      </c>
      <c r="C94" s="819">
        <f>IF('Система ГВС'!F3=2,0,C86/('Ввод исходных данных'!$G$56+'Ввод исходных данных'!D23))</f>
        <v>8.8995518006151422E-2</v>
      </c>
      <c r="D94" s="820">
        <f ca="1">D86/('Ввод исходных данных'!$G$56+'Ввод исходных данных'!D23)</f>
        <v>9.4175666106045844E-2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1205</v>
      </c>
      <c r="B95" s="822" t="s">
        <v>784</v>
      </c>
      <c r="C95" s="823">
        <f>IF('Система ГВС'!F3=2,0,D169*(1-0.4*'Ввод исходных данных'!D21/'Ввод исходных данных'!D20))</f>
        <v>69.849182393772168</v>
      </c>
      <c r="D95" s="824">
        <f>D90*1000/(365*'Ввод исходных данных'!$D$22)</f>
        <v>34.337899543379002</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89" t="s">
        <v>1169</v>
      </c>
      <c r="B97" s="2489"/>
      <c r="C97" s="2489"/>
      <c r="D97" s="2489"/>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58" t="s">
        <v>829</v>
      </c>
      <c r="B98" s="2475" t="s">
        <v>1157</v>
      </c>
      <c r="C98" s="2477" t="s">
        <v>1158</v>
      </c>
      <c r="D98" s="2479" t="s">
        <v>1159</v>
      </c>
      <c r="E98" s="50"/>
      <c r="F98" s="50"/>
      <c r="G98" s="2458" t="s">
        <v>829</v>
      </c>
      <c r="H98" s="2490" t="s">
        <v>1157</v>
      </c>
      <c r="I98" s="2468" t="s">
        <v>488</v>
      </c>
      <c r="J98" s="2470"/>
      <c r="K98" s="2468" t="s">
        <v>489</v>
      </c>
      <c r="L98" s="2470"/>
      <c r="M98" s="2468" t="s">
        <v>490</v>
      </c>
      <c r="N98" s="2470"/>
      <c r="O98" s="2468" t="s">
        <v>491</v>
      </c>
      <c r="P98" s="2470"/>
      <c r="Q98" s="2468" t="s">
        <v>800</v>
      </c>
      <c r="R98" s="2470"/>
      <c r="S98" s="2468" t="s">
        <v>801</v>
      </c>
      <c r="T98" s="2470"/>
      <c r="U98" s="2468" t="s">
        <v>802</v>
      </c>
      <c r="V98" s="2470"/>
      <c r="W98" s="2468" t="s">
        <v>803</v>
      </c>
      <c r="X98" s="2470"/>
      <c r="Y98" s="2468" t="s">
        <v>804</v>
      </c>
      <c r="Z98" s="2470"/>
      <c r="AA98" s="2468" t="s">
        <v>482</v>
      </c>
      <c r="AB98" s="2470"/>
      <c r="AC98" s="2468" t="s">
        <v>486</v>
      </c>
      <c r="AD98" s="2470"/>
      <c r="AE98" s="2468" t="s">
        <v>487</v>
      </c>
      <c r="AF98" s="247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59"/>
      <c r="B99" s="2476"/>
      <c r="C99" s="2478"/>
      <c r="D99" s="2480"/>
      <c r="E99" s="50"/>
      <c r="F99" s="50"/>
      <c r="G99" s="2459"/>
      <c r="H99" s="2461"/>
      <c r="I99" s="480" t="s">
        <v>1158</v>
      </c>
      <c r="J99" s="765" t="s">
        <v>1159</v>
      </c>
      <c r="K99" s="480" t="s">
        <v>1158</v>
      </c>
      <c r="L99" s="765" t="s">
        <v>1159</v>
      </c>
      <c r="M99" s="480" t="s">
        <v>1158</v>
      </c>
      <c r="N99" s="765" t="s">
        <v>1159</v>
      </c>
      <c r="O99" s="480" t="s">
        <v>1158</v>
      </c>
      <c r="P99" s="765" t="s">
        <v>1159</v>
      </c>
      <c r="Q99" s="480" t="s">
        <v>1158</v>
      </c>
      <c r="R99" s="765" t="s">
        <v>1159</v>
      </c>
      <c r="S99" s="480" t="s">
        <v>1158</v>
      </c>
      <c r="T99" s="765" t="s">
        <v>1159</v>
      </c>
      <c r="U99" s="480" t="s">
        <v>1158</v>
      </c>
      <c r="V99" s="765" t="s">
        <v>1159</v>
      </c>
      <c r="W99" s="480" t="s">
        <v>1158</v>
      </c>
      <c r="X99" s="765" t="s">
        <v>1159</v>
      </c>
      <c r="Y99" s="480" t="s">
        <v>1158</v>
      </c>
      <c r="Z99" s="765" t="s">
        <v>1159</v>
      </c>
      <c r="AA99" s="480" t="s">
        <v>1158</v>
      </c>
      <c r="AB99" s="765" t="s">
        <v>1159</v>
      </c>
      <c r="AC99" s="480" t="s">
        <v>1158</v>
      </c>
      <c r="AD99" s="765" t="s">
        <v>1159</v>
      </c>
      <c r="AE99" s="480" t="s">
        <v>1158</v>
      </c>
      <c r="AF99" s="765" t="s">
        <v>1159</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1207</v>
      </c>
      <c r="B100" s="825" t="s">
        <v>837</v>
      </c>
      <c r="C100" s="826">
        <f ca="1">C102+C106+C108+C113</f>
        <v>2394</v>
      </c>
      <c r="D100" s="803">
        <f>'Ввод исходных данных'!Y265*1000</f>
        <v>22856</v>
      </c>
      <c r="E100" s="50"/>
      <c r="F100" s="50"/>
      <c r="G100" s="770" t="s">
        <v>1208</v>
      </c>
      <c r="H100" s="827" t="s">
        <v>837</v>
      </c>
      <c r="I100" s="772">
        <f>I102+I106+I108+I113</f>
        <v>199.5</v>
      </c>
      <c r="J100" s="828">
        <f>'Ввод исходных данных'!$Y$253*1000</f>
        <v>2953</v>
      </c>
      <c r="K100" s="772">
        <f>K102+K106+K108+K113</f>
        <v>199.5</v>
      </c>
      <c r="L100" s="828">
        <f>'Ввод исходных данных'!$Y$254*1000</f>
        <v>3449</v>
      </c>
      <c r="M100" s="772">
        <f>M102+M106+M108+M113</f>
        <v>199.5</v>
      </c>
      <c r="N100" s="828">
        <f>'Ввод исходных данных'!$Y$255*1000</f>
        <v>1</v>
      </c>
      <c r="O100" s="772">
        <f>O102+O106+O108+O113</f>
        <v>199.5</v>
      </c>
      <c r="P100" s="828">
        <f>'Ввод исходных данных'!$Y$256*1000</f>
        <v>3789.9999999999995</v>
      </c>
      <c r="Q100" s="772">
        <f>Q102+Q106+Q108+Q113</f>
        <v>199.5</v>
      </c>
      <c r="R100" s="828">
        <f>'Ввод исходных данных'!$Y$257*1000</f>
        <v>601</v>
      </c>
      <c r="S100" s="772">
        <f>S102+S106+S108+S113</f>
        <v>199.5</v>
      </c>
      <c r="T100" s="828">
        <f>'Ввод исходных данных'!$Y$258*1000</f>
        <v>1683</v>
      </c>
      <c r="U100" s="772">
        <f>U102+U106+U108+U113</f>
        <v>199.5</v>
      </c>
      <c r="V100" s="828">
        <f>'Ввод исходных данных'!$Y$259*1000</f>
        <v>1963</v>
      </c>
      <c r="W100" s="772">
        <f>W102+W106+W108+W113</f>
        <v>199.5</v>
      </c>
      <c r="X100" s="828">
        <f>'Ввод исходных данных'!$Y$260*1000</f>
        <v>1598.9999999999998</v>
      </c>
      <c r="Y100" s="772">
        <f>Y102+Y106+Y108+Y113</f>
        <v>199.5</v>
      </c>
      <c r="Z100" s="828">
        <f>'Ввод исходных данных'!$Y$261*1000</f>
        <v>1466.0000000000002</v>
      </c>
      <c r="AA100" s="772">
        <f>AA102+AA106+AA108+AA113</f>
        <v>199.5</v>
      </c>
      <c r="AB100" s="828">
        <f>'Ввод исходных данных'!$Y$262*1000</f>
        <v>2297</v>
      </c>
      <c r="AC100" s="772">
        <f>AC102+AC106+AC108+AC113</f>
        <v>199.5</v>
      </c>
      <c r="AD100" s="828">
        <f>'Ввод исходных данных'!$Y$263*1000</f>
        <v>2929.0000000000005</v>
      </c>
      <c r="AE100" s="772">
        <f>AE102+AE106+AE108+AE113</f>
        <v>199.5</v>
      </c>
      <c r="AF100" s="828">
        <f>'Ввод исходных данных'!$Y$264*1000</f>
        <v>125</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1164</v>
      </c>
      <c r="C101" s="831">
        <f ca="1">C100/$C$100</f>
        <v>1</v>
      </c>
      <c r="D101" s="832">
        <f>D100/$D$100</f>
        <v>1</v>
      </c>
      <c r="E101" s="50"/>
      <c r="F101" s="50"/>
      <c r="G101" s="833" t="s">
        <v>868</v>
      </c>
      <c r="H101" s="834" t="s">
        <v>1164</v>
      </c>
      <c r="I101" s="835">
        <f>I103+I107+I109+I114</f>
        <v>100</v>
      </c>
      <c r="J101" s="836">
        <f>J103+J107+J109+J114</f>
        <v>100</v>
      </c>
      <c r="K101" s="835">
        <f>K103+K107+K109+K114</f>
        <v>100</v>
      </c>
      <c r="L101" s="836">
        <f>L103+L107+L109+L114</f>
        <v>100</v>
      </c>
      <c r="M101" s="835">
        <f>M103+M107+M109+M114</f>
        <v>100</v>
      </c>
      <c r="N101" s="836">
        <f>N103+N107+N109+N114</f>
        <v>100</v>
      </c>
      <c r="O101" s="835">
        <f>O103+O107+O109+O114</f>
        <v>100</v>
      </c>
      <c r="P101" s="836">
        <f>P103+P107+P109+P114</f>
        <v>100</v>
      </c>
      <c r="Q101" s="835">
        <f>Q103+Q107+Q109+Q114</f>
        <v>100</v>
      </c>
      <c r="R101" s="836">
        <f>R103+R107+R109+R114</f>
        <v>100</v>
      </c>
      <c r="S101" s="835">
        <f>S103+S107+S109+S114</f>
        <v>100</v>
      </c>
      <c r="T101" s="836">
        <f>T103+T107+T109+T114</f>
        <v>100</v>
      </c>
      <c r="U101" s="835">
        <f>U103+U107+U109+U114</f>
        <v>100</v>
      </c>
      <c r="V101" s="836">
        <f>V103+V107+V109+V114</f>
        <v>100</v>
      </c>
      <c r="W101" s="835">
        <f>W103+W107+W109+W114</f>
        <v>100</v>
      </c>
      <c r="X101" s="836">
        <f>X103+X107+X109+X114</f>
        <v>100</v>
      </c>
      <c r="Y101" s="835">
        <f>Y103+Y107+Y109+Y114</f>
        <v>100</v>
      </c>
      <c r="Z101" s="836">
        <f>Z103+Z107+Z109+Z114</f>
        <v>100</v>
      </c>
      <c r="AA101" s="835">
        <f>AA103+AA107+AA109+AA114</f>
        <v>100</v>
      </c>
      <c r="AB101" s="836">
        <f>AB103+AB107+AB109+AB114</f>
        <v>100</v>
      </c>
      <c r="AC101" s="835">
        <f>AC103+AC107+AC109+AC114</f>
        <v>100</v>
      </c>
      <c r="AD101" s="836">
        <f>AD103+AD107+AD109+AD114</f>
        <v>100</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1209</v>
      </c>
      <c r="B102" s="839" t="s">
        <v>837</v>
      </c>
      <c r="C102" s="840">
        <f>SUM('Система электроснабжения'!B18:B23)</f>
        <v>2394</v>
      </c>
      <c r="D102" s="841">
        <f>'Ввод исходных данных'!Z265*1000</f>
        <v>22856</v>
      </c>
      <c r="E102" s="50"/>
      <c r="F102" s="50"/>
      <c r="G102" s="842" t="s">
        <v>1209</v>
      </c>
      <c r="H102" s="843" t="s">
        <v>837</v>
      </c>
      <c r="I102" s="844">
        <f>$C$102/12</f>
        <v>199.5</v>
      </c>
      <c r="J102" s="837">
        <f>'Ввод исходных данных'!$Z$253*1000</f>
        <v>2953</v>
      </c>
      <c r="K102" s="844">
        <f>$C$102/12</f>
        <v>199.5</v>
      </c>
      <c r="L102" s="837">
        <f>'Ввод исходных данных'!$Z$254*1000</f>
        <v>3449</v>
      </c>
      <c r="M102" s="844">
        <f>$C$102/12</f>
        <v>199.5</v>
      </c>
      <c r="N102" s="837">
        <f>'Ввод исходных данных'!$Z$255*1000</f>
        <v>1</v>
      </c>
      <c r="O102" s="844">
        <f>$C$102/12</f>
        <v>199.5</v>
      </c>
      <c r="P102" s="837">
        <f>'Ввод исходных данных'!$Z$256*1000</f>
        <v>3789.9999999999995</v>
      </c>
      <c r="Q102" s="844">
        <f>$C$102/12</f>
        <v>199.5</v>
      </c>
      <c r="R102" s="837">
        <f>'Ввод исходных данных'!$Z$257*1000</f>
        <v>601</v>
      </c>
      <c r="S102" s="844">
        <f>$C$102/12</f>
        <v>199.5</v>
      </c>
      <c r="T102" s="837">
        <f>'Ввод исходных данных'!$Z$258*1000</f>
        <v>1683</v>
      </c>
      <c r="U102" s="844">
        <f>$C$102/12</f>
        <v>199.5</v>
      </c>
      <c r="V102" s="837">
        <f>'Ввод исходных данных'!$Z$259*1000</f>
        <v>1963</v>
      </c>
      <c r="W102" s="844">
        <f>$C$102/12</f>
        <v>199.5</v>
      </c>
      <c r="X102" s="837">
        <f>'Ввод исходных данных'!$Z$260*1000</f>
        <v>1598.9999999999998</v>
      </c>
      <c r="Y102" s="844">
        <f>$C$102/12</f>
        <v>199.5</v>
      </c>
      <c r="Z102" s="837">
        <f>'Ввод исходных данных'!$Z$261*1000</f>
        <v>1466.0000000000002</v>
      </c>
      <c r="AA102" s="844">
        <f>$C$102/12</f>
        <v>199.5</v>
      </c>
      <c r="AB102" s="837">
        <f>'Ввод исходных данных'!$Z$262*1000</f>
        <v>2297</v>
      </c>
      <c r="AC102" s="844">
        <f>$C$102/12</f>
        <v>199.5</v>
      </c>
      <c r="AD102" s="837">
        <f>'Ввод исходных данных'!$Z$263*1000</f>
        <v>2929.0000000000005</v>
      </c>
      <c r="AE102" s="844">
        <f>$C$102/12</f>
        <v>199.5</v>
      </c>
      <c r="AF102" s="837">
        <f>'Ввод исходных данных'!$Z$264*1000</f>
        <v>125</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1164</v>
      </c>
      <c r="C103" s="845">
        <f ca="1">C102/$C$100</f>
        <v>1</v>
      </c>
      <c r="D103" s="846">
        <f>D102/$D$100</f>
        <v>1</v>
      </c>
      <c r="E103" s="50"/>
      <c r="F103" s="50"/>
      <c r="G103" s="501" t="s">
        <v>868</v>
      </c>
      <c r="H103" s="843" t="s">
        <v>1164</v>
      </c>
      <c r="I103" s="844">
        <f t="shared" ref="I103:AF103" si="33">(I102/I100)*100</f>
        <v>100</v>
      </c>
      <c r="J103" s="847">
        <f t="shared" si="33"/>
        <v>100</v>
      </c>
      <c r="K103" s="848">
        <f t="shared" si="33"/>
        <v>100</v>
      </c>
      <c r="L103" s="849">
        <f t="shared" si="33"/>
        <v>100</v>
      </c>
      <c r="M103" s="848">
        <f t="shared" si="33"/>
        <v>100</v>
      </c>
      <c r="N103" s="849">
        <f t="shared" si="33"/>
        <v>100</v>
      </c>
      <c r="O103" s="848">
        <f t="shared" si="33"/>
        <v>100</v>
      </c>
      <c r="P103" s="849">
        <f t="shared" si="33"/>
        <v>100</v>
      </c>
      <c r="Q103" s="848">
        <f t="shared" si="33"/>
        <v>100</v>
      </c>
      <c r="R103" s="849">
        <f t="shared" si="33"/>
        <v>100</v>
      </c>
      <c r="S103" s="848">
        <f t="shared" si="33"/>
        <v>100</v>
      </c>
      <c r="T103" s="849">
        <f t="shared" si="33"/>
        <v>100</v>
      </c>
      <c r="U103" s="848">
        <f t="shared" si="33"/>
        <v>100</v>
      </c>
      <c r="V103" s="849">
        <f t="shared" si="33"/>
        <v>100</v>
      </c>
      <c r="W103" s="848">
        <f t="shared" si="33"/>
        <v>100</v>
      </c>
      <c r="X103" s="849">
        <f t="shared" si="33"/>
        <v>100</v>
      </c>
      <c r="Y103" s="848">
        <f t="shared" si="33"/>
        <v>100</v>
      </c>
      <c r="Z103" s="849">
        <f t="shared" si="33"/>
        <v>100</v>
      </c>
      <c r="AA103" s="848">
        <f t="shared" si="33"/>
        <v>100</v>
      </c>
      <c r="AB103" s="849">
        <f t="shared" si="33"/>
        <v>100</v>
      </c>
      <c r="AC103" s="848">
        <f t="shared" si="33"/>
        <v>100</v>
      </c>
      <c r="AD103" s="849">
        <f t="shared" si="33"/>
        <v>100</v>
      </c>
      <c r="AE103" s="848">
        <f t="shared" si="33"/>
        <v>100</v>
      </c>
      <c r="AF103" s="849">
        <f t="shared" si="33"/>
        <v>100</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2425</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2394</v>
      </c>
      <c r="D104" s="846">
        <f>IFERROR($D$102*C104/$C$102,0)</f>
        <v>22856</v>
      </c>
      <c r="E104" s="50"/>
      <c r="F104" s="50"/>
      <c r="G104" s="501"/>
      <c r="H104" s="843"/>
      <c r="I104" s="844"/>
      <c r="J104" s="1790"/>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2426</v>
      </c>
      <c r="B105" s="839" t="s">
        <v>837</v>
      </c>
      <c r="C105" s="851">
        <f>списки!C70*'Ввод исходных данных'!D156*'Ввод исходных данных'!F156/1000</f>
        <v>0</v>
      </c>
      <c r="D105" s="846">
        <f>IFERROR($D$102*C105/$C$102,0)</f>
        <v>0</v>
      </c>
      <c r="E105" s="50"/>
      <c r="F105" s="50"/>
      <c r="G105" s="501"/>
      <c r="H105" s="843"/>
      <c r="I105" s="844"/>
      <c r="J105" s="1790"/>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1216</v>
      </c>
      <c r="B106" s="839" t="s">
        <v>837</v>
      </c>
      <c r="C106" s="840">
        <f>'Ввод исходных данных'!D161*списки!C72</f>
        <v>0</v>
      </c>
      <c r="D106" s="841">
        <f>'Ввод исходных данных'!AA265*1000</f>
        <v>0</v>
      </c>
      <c r="E106" s="50"/>
      <c r="F106" s="50"/>
      <c r="G106" s="842" t="s">
        <v>1216</v>
      </c>
      <c r="H106" s="843" t="s">
        <v>837</v>
      </c>
      <c r="I106" s="850">
        <f>C106/12</f>
        <v>0</v>
      </c>
      <c r="J106" s="577">
        <f>'Ввод исходных данных'!$AA$253*1000</f>
        <v>0</v>
      </c>
      <c r="K106" s="850">
        <f>I106</f>
        <v>0</v>
      </c>
      <c r="L106" s="577">
        <f>'Ввод исходных данных'!$AA$254*1000</f>
        <v>0</v>
      </c>
      <c r="M106" s="850">
        <f>K106</f>
        <v>0</v>
      </c>
      <c r="N106" s="577">
        <f>'Ввод исходных данных'!$AA$255*1000</f>
        <v>0</v>
      </c>
      <c r="O106" s="850">
        <f>M106</f>
        <v>0</v>
      </c>
      <c r="P106" s="577">
        <f>'Ввод исходных данных'!$AA$256*1000</f>
        <v>0</v>
      </c>
      <c r="Q106" s="850">
        <f>O106</f>
        <v>0</v>
      </c>
      <c r="R106" s="577">
        <f>'Ввод исходных данных'!$AA$257*1000</f>
        <v>0</v>
      </c>
      <c r="S106" s="850">
        <f>Q106</f>
        <v>0</v>
      </c>
      <c r="T106" s="577">
        <f>'Ввод исходных данных'!$AA$258*1000</f>
        <v>0</v>
      </c>
      <c r="U106" s="850">
        <f>S106</f>
        <v>0</v>
      </c>
      <c r="V106" s="577">
        <f>'Ввод исходных данных'!$AA$259*1000</f>
        <v>0</v>
      </c>
      <c r="W106" s="850">
        <f>U106</f>
        <v>0</v>
      </c>
      <c r="X106" s="577">
        <f>'Ввод исходных данных'!$AA$260*1000</f>
        <v>0</v>
      </c>
      <c r="Y106" s="850">
        <f>W106</f>
        <v>0</v>
      </c>
      <c r="Z106" s="577">
        <f>'Ввод исходных данных'!$AA$261*1000</f>
        <v>0</v>
      </c>
      <c r="AA106" s="850">
        <f>Y106</f>
        <v>0</v>
      </c>
      <c r="AB106" s="577">
        <f>'Ввод исходных данных'!$AA$262*1000</f>
        <v>0</v>
      </c>
      <c r="AC106" s="850">
        <f>AA106</f>
        <v>0</v>
      </c>
      <c r="AD106" s="577">
        <f>'Ввод исходных данных'!$AA$263*1000</f>
        <v>0</v>
      </c>
      <c r="AE106" s="850">
        <f>AC106</f>
        <v>0</v>
      </c>
      <c r="AF106" s="577">
        <f>'Ввод исходных данных'!$AA$264*1000</f>
        <v>0</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1164</v>
      </c>
      <c r="C107" s="845">
        <f ca="1">C106/$C$100</f>
        <v>0</v>
      </c>
      <c r="D107" s="846">
        <f>D106/$D$100</f>
        <v>0</v>
      </c>
      <c r="E107" s="50"/>
      <c r="F107" s="50"/>
      <c r="G107" s="501" t="s">
        <v>868</v>
      </c>
      <c r="H107" s="843" t="s">
        <v>1164</v>
      </c>
      <c r="I107" s="844">
        <f t="shared" ref="I107:AF107" si="34">(I106/I100)*100</f>
        <v>0</v>
      </c>
      <c r="J107" s="847">
        <f t="shared" si="34"/>
        <v>0</v>
      </c>
      <c r="K107" s="848">
        <f t="shared" si="34"/>
        <v>0</v>
      </c>
      <c r="L107" s="849">
        <f t="shared" si="34"/>
        <v>0</v>
      </c>
      <c r="M107" s="848">
        <f t="shared" si="34"/>
        <v>0</v>
      </c>
      <c r="N107" s="849">
        <f t="shared" si="34"/>
        <v>0</v>
      </c>
      <c r="O107" s="848">
        <f t="shared" si="34"/>
        <v>0</v>
      </c>
      <c r="P107" s="849">
        <f t="shared" si="34"/>
        <v>0</v>
      </c>
      <c r="Q107" s="848">
        <f t="shared" si="34"/>
        <v>0</v>
      </c>
      <c r="R107" s="849">
        <f t="shared" si="34"/>
        <v>0</v>
      </c>
      <c r="S107" s="848">
        <f t="shared" si="34"/>
        <v>0</v>
      </c>
      <c r="T107" s="849">
        <f t="shared" si="34"/>
        <v>0</v>
      </c>
      <c r="U107" s="848">
        <f t="shared" si="34"/>
        <v>0</v>
      </c>
      <c r="V107" s="849">
        <f t="shared" si="34"/>
        <v>0</v>
      </c>
      <c r="W107" s="848">
        <f t="shared" si="34"/>
        <v>0</v>
      </c>
      <c r="X107" s="849">
        <f t="shared" si="34"/>
        <v>0</v>
      </c>
      <c r="Y107" s="848">
        <f t="shared" si="34"/>
        <v>0</v>
      </c>
      <c r="Z107" s="849">
        <f t="shared" si="34"/>
        <v>0</v>
      </c>
      <c r="AA107" s="848">
        <f t="shared" si="34"/>
        <v>0</v>
      </c>
      <c r="AB107" s="849">
        <f t="shared" si="34"/>
        <v>0</v>
      </c>
      <c r="AC107" s="848">
        <f t="shared" si="34"/>
        <v>0</v>
      </c>
      <c r="AD107" s="849">
        <f t="shared" si="34"/>
        <v>0</v>
      </c>
      <c r="AE107" s="848">
        <f t="shared" si="34"/>
        <v>0</v>
      </c>
      <c r="AF107" s="849">
        <f t="shared" si="34"/>
        <v>0</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1218</v>
      </c>
      <c r="B108" s="839" t="s">
        <v>837</v>
      </c>
      <c r="C108" s="840">
        <f ca="1">C110+C111+C112</f>
        <v>0</v>
      </c>
      <c r="D108" s="841">
        <f>'Ввод исходных данных'!AB265*1000</f>
        <v>0</v>
      </c>
      <c r="E108" s="50"/>
      <c r="F108" s="50"/>
      <c r="G108" s="842" t="s">
        <v>1217</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1164</v>
      </c>
      <c r="C109" s="845">
        <f ca="1">C108/$C$100</f>
        <v>0</v>
      </c>
      <c r="D109" s="846">
        <f>D108/$D$100</f>
        <v>0</v>
      </c>
      <c r="E109" s="50"/>
      <c r="F109" s="50"/>
      <c r="G109" s="501" t="s">
        <v>868</v>
      </c>
      <c r="H109" s="843" t="s">
        <v>1164</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1311</v>
      </c>
      <c r="B110" s="839" t="s">
        <v>837</v>
      </c>
      <c r="C110" s="851">
        <f ca="1">'Ввод исходных данных'!D167*списки!C73</f>
        <v>0</v>
      </c>
      <c r="D110" s="852">
        <f>'Ввод исходных данных'!AC265*1000</f>
        <v>0</v>
      </c>
      <c r="E110" s="381"/>
      <c r="F110" s="50"/>
      <c r="G110" s="320" t="s">
        <v>1311</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1361</v>
      </c>
      <c r="B111" s="839" t="s">
        <v>837</v>
      </c>
      <c r="C111" s="851">
        <f>'Ввод исходных данных'!D171*списки!C74</f>
        <v>0</v>
      </c>
      <c r="D111" s="852">
        <f>'Ввод исходных данных'!AD265*1000</f>
        <v>0</v>
      </c>
      <c r="E111" s="50"/>
      <c r="F111" s="50"/>
      <c r="G111" s="320" t="s">
        <v>1361</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1362</v>
      </c>
      <c r="B112" s="839" t="s">
        <v>837</v>
      </c>
      <c r="C112" s="851">
        <f>'Ввод исходных данных'!D175*списки!C75</f>
        <v>0</v>
      </c>
      <c r="D112" s="852">
        <f>'Ввод исходных данных'!AE265*1000</f>
        <v>0</v>
      </c>
      <c r="E112" s="50"/>
      <c r="F112" s="50"/>
      <c r="G112" s="320" t="s">
        <v>1362</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1210</v>
      </c>
      <c r="B113" s="839" t="s">
        <v>837</v>
      </c>
      <c r="C113" s="840">
        <f>'Ввод исходных данных'!$D$179*'Ввод исходных данных'!$D$180</f>
        <v>0</v>
      </c>
      <c r="D113" s="841">
        <f>'Ввод исходных данных'!AF265*1000</f>
        <v>0</v>
      </c>
      <c r="E113" s="50"/>
      <c r="F113" s="50"/>
      <c r="G113" s="842" t="s">
        <v>1210</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1164</v>
      </c>
      <c r="C114" s="853">
        <f ca="1">C113/$C$100</f>
        <v>0</v>
      </c>
      <c r="D114" s="854">
        <f>D113/$D$100</f>
        <v>0</v>
      </c>
      <c r="E114" s="50"/>
      <c r="F114" s="50"/>
      <c r="G114" s="795" t="s">
        <v>868</v>
      </c>
      <c r="H114" s="855" t="s">
        <v>1164</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1211</v>
      </c>
      <c r="B115" s="787" t="s">
        <v>837</v>
      </c>
      <c r="C115" s="620"/>
      <c r="D115" s="500">
        <f ca="1">D100-C100</f>
        <v>20462</v>
      </c>
      <c r="E115" s="50"/>
      <c r="F115" s="50"/>
      <c r="G115" s="786" t="s">
        <v>1212</v>
      </c>
      <c r="H115" s="859" t="s">
        <v>837</v>
      </c>
      <c r="I115" s="860"/>
      <c r="J115" s="861">
        <f>J100-I100</f>
        <v>2753.5</v>
      </c>
      <c r="K115" s="862"/>
      <c r="L115" s="863">
        <f>L100-K100</f>
        <v>3249.5</v>
      </c>
      <c r="M115" s="864"/>
      <c r="N115" s="865">
        <f>N100-M100</f>
        <v>-198.5</v>
      </c>
      <c r="O115" s="866"/>
      <c r="P115" s="865">
        <f>P100-O100</f>
        <v>3590.4999999999995</v>
      </c>
      <c r="Q115" s="864"/>
      <c r="R115" s="865">
        <f>R100-Q100</f>
        <v>401.5</v>
      </c>
      <c r="S115" s="864"/>
      <c r="T115" s="865">
        <f>T100-S100</f>
        <v>1483.5</v>
      </c>
      <c r="U115" s="864"/>
      <c r="V115" s="865">
        <f>V100-U100</f>
        <v>1763.5</v>
      </c>
      <c r="W115" s="864"/>
      <c r="X115" s="865">
        <f>X100-W100</f>
        <v>1399.4999999999998</v>
      </c>
      <c r="Y115" s="864"/>
      <c r="Z115" s="865">
        <f>Z100-Y100</f>
        <v>1266.5000000000002</v>
      </c>
      <c r="AA115" s="864"/>
      <c r="AB115" s="865">
        <f>AB100-AA100</f>
        <v>2097.5</v>
      </c>
      <c r="AC115" s="864"/>
      <c r="AD115" s="865">
        <f>AD100-AC100</f>
        <v>2729.5000000000005</v>
      </c>
      <c r="AE115" s="864"/>
      <c r="AF115" s="865">
        <f>AF100-AE100</f>
        <v>-74.5</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1164</v>
      </c>
      <c r="C116" s="867"/>
      <c r="D116" s="868">
        <f ca="1">(D115/C100)*100</f>
        <v>854.72013366750218</v>
      </c>
      <c r="E116" s="50"/>
      <c r="F116" s="50"/>
      <c r="G116" s="347" t="s">
        <v>868</v>
      </c>
      <c r="H116" s="869" t="s">
        <v>1164</v>
      </c>
      <c r="I116" s="870"/>
      <c r="J116" s="871">
        <f>(J115/I100)*100</f>
        <v>1380.2005012531329</v>
      </c>
      <c r="K116" s="870"/>
      <c r="L116" s="871">
        <f>(L115/K100)*100</f>
        <v>1628.8220551378447</v>
      </c>
      <c r="M116" s="856"/>
      <c r="N116" s="868">
        <f>(N115/M100)*100</f>
        <v>-99.498746867167924</v>
      </c>
      <c r="O116" s="856"/>
      <c r="P116" s="868">
        <f>(P115/O100)*100</f>
        <v>1799.7493734335837</v>
      </c>
      <c r="Q116" s="856"/>
      <c r="R116" s="868">
        <f>(R115/Q100)*100</f>
        <v>201.25313283208021</v>
      </c>
      <c r="S116" s="856"/>
      <c r="T116" s="868">
        <f>(T115/S100)*100</f>
        <v>743.60902255639098</v>
      </c>
      <c r="U116" s="856"/>
      <c r="V116" s="868">
        <f>(V115/U100)*100</f>
        <v>883.95989974937345</v>
      </c>
      <c r="W116" s="856"/>
      <c r="X116" s="868">
        <f>(X115/W100)*100</f>
        <v>701.50375939849607</v>
      </c>
      <c r="Y116" s="856"/>
      <c r="Z116" s="868">
        <f>(Z115/Y100)*100</f>
        <v>634.83709273182967</v>
      </c>
      <c r="AA116" s="856"/>
      <c r="AB116" s="868">
        <f>(AB115/AA100)*100</f>
        <v>1051.3784461152882</v>
      </c>
      <c r="AC116" s="856"/>
      <c r="AD116" s="868">
        <f>(AD115/AC100)*100</f>
        <v>1368.1704260651632</v>
      </c>
      <c r="AE116" s="856"/>
      <c r="AF116" s="868">
        <f>(AF115/AE100)*100</f>
        <v>-37.343358395989974</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1213</v>
      </c>
      <c r="B117" s="873" t="s">
        <v>1173</v>
      </c>
      <c r="C117" s="427">
        <f ca="1">C100/('Ввод исходных данных'!$G$56++'Ввод исходных данных'!D23)</f>
        <v>0.52978666902717531</v>
      </c>
      <c r="D117" s="427">
        <f>D100/('Ввод исходных данных'!$G$56+'Ввод исходных данных'!D23)</f>
        <v>5.0579799946888553</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2066.65</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1.053639846743295</v>
      </c>
      <c r="D136" s="443">
        <v>1</v>
      </c>
      <c r="E136" s="445">
        <f t="shared" ref="E136:E145" si="37">IF(C136=0,0,B136/C136*D136)</f>
        <v>1961.4387272727274</v>
      </c>
      <c r="F136" s="446">
        <f>E136*(20-$D$147)</f>
        <v>107879.13</v>
      </c>
      <c r="G136" s="445">
        <f t="shared" ref="G136:R136" si="38">$E$136*0.024*G$149</f>
        <v>49470.62300378181</v>
      </c>
      <c r="H136" s="445">
        <f t="shared" si="38"/>
        <v>42574.204438690904</v>
      </c>
      <c r="I136" s="445">
        <f t="shared" si="38"/>
        <v>35753.105120727276</v>
      </c>
      <c r="J136" s="445">
        <f t="shared" si="38"/>
        <v>23301.892080000001</v>
      </c>
      <c r="K136" s="445">
        <f t="shared" si="38"/>
        <v>2876.2537496727273</v>
      </c>
      <c r="L136" s="445">
        <f t="shared" si="38"/>
        <v>0</v>
      </c>
      <c r="M136" s="445">
        <f t="shared" si="38"/>
        <v>0</v>
      </c>
      <c r="N136" s="445">
        <f t="shared" si="38"/>
        <v>0</v>
      </c>
      <c r="O136" s="445">
        <f t="shared" si="38"/>
        <v>3212.8366352727276</v>
      </c>
      <c r="P136" s="445">
        <f t="shared" si="38"/>
        <v>25829.794311709087</v>
      </c>
      <c r="Q136" s="445">
        <f t="shared" si="38"/>
        <v>36153.23862109091</v>
      </c>
      <c r="R136" s="445">
        <f t="shared" si="38"/>
        <v>45676.415929745461</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732</v>
      </c>
      <c r="C137" s="1480">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0.70732394366197182</v>
      </c>
      <c r="D137" s="443">
        <v>1</v>
      </c>
      <c r="E137" s="445">
        <f t="shared" si="37"/>
        <v>1034.8864994026285</v>
      </c>
      <c r="F137" s="446">
        <f t="shared" ref="F137:F145" si="39">E137*(20-$D$147)</f>
        <v>56918.757467144569</v>
      </c>
      <c r="G137" s="445">
        <f t="shared" ref="G137:R137" si="40">$E$137*0.024*G$149</f>
        <v>26101.493333333332</v>
      </c>
      <c r="H137" s="445">
        <f t="shared" si="40"/>
        <v>22462.83240143369</v>
      </c>
      <c r="I137" s="445">
        <f t="shared" si="40"/>
        <v>18863.911111111112</v>
      </c>
      <c r="J137" s="445">
        <f t="shared" si="40"/>
        <v>12294.451612903227</v>
      </c>
      <c r="K137" s="445">
        <f t="shared" si="40"/>
        <v>1517.5575627240144</v>
      </c>
      <c r="L137" s="445">
        <f t="shared" si="40"/>
        <v>0</v>
      </c>
      <c r="M137" s="445">
        <f t="shared" si="40"/>
        <v>0</v>
      </c>
      <c r="N137" s="445">
        <f t="shared" si="40"/>
        <v>0</v>
      </c>
      <c r="O137" s="445">
        <f t="shared" si="40"/>
        <v>1695.1440860215055</v>
      </c>
      <c r="P137" s="445">
        <f t="shared" si="40"/>
        <v>13628.213333333333</v>
      </c>
      <c r="Q137" s="445">
        <f t="shared" si="40"/>
        <v>19075.027956989248</v>
      </c>
      <c r="R137" s="445">
        <f t="shared" si="40"/>
        <v>24099.608888888892</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19.2</v>
      </c>
      <c r="C138" s="874">
        <f>IF('Ввод исходных данных'!D83=0,0.38*(1-'Ввод исходных данных'!$D$34/'Ввод исходных данных'!G66)+0.55*('Ввод исходных данных'!$D$34/'Ввод исходных данных'!G66),'Ввод исходных данных'!D83)</f>
        <v>0.46500000000000002</v>
      </c>
      <c r="D138" s="443">
        <v>1</v>
      </c>
      <c r="E138" s="445">
        <f t="shared" si="37"/>
        <v>41.29032258064516</v>
      </c>
      <c r="F138" s="446">
        <f t="shared" si="39"/>
        <v>2270.9677419354839</v>
      </c>
      <c r="G138" s="445">
        <f t="shared" ref="G138:R138" si="41">$E$138*0.024*G$149</f>
        <v>1041.4079999999999</v>
      </c>
      <c r="H138" s="445">
        <f t="shared" si="41"/>
        <v>896.23122580645145</v>
      </c>
      <c r="I138" s="445">
        <f t="shared" si="41"/>
        <v>752.64</v>
      </c>
      <c r="J138" s="445">
        <f t="shared" si="41"/>
        <v>490.52903225806449</v>
      </c>
      <c r="K138" s="445">
        <f t="shared" si="41"/>
        <v>60.548129032258068</v>
      </c>
      <c r="L138" s="445">
        <f t="shared" si="41"/>
        <v>0</v>
      </c>
      <c r="M138" s="445">
        <f t="shared" si="41"/>
        <v>0</v>
      </c>
      <c r="N138" s="445">
        <f t="shared" si="41"/>
        <v>0</v>
      </c>
      <c r="O138" s="445">
        <f t="shared" si="41"/>
        <v>67.633548387096781</v>
      </c>
      <c r="P138" s="445">
        <f t="shared" si="41"/>
        <v>543.74399999999991</v>
      </c>
      <c r="Q138" s="445">
        <f t="shared" si="41"/>
        <v>761.06322580645156</v>
      </c>
      <c r="R138" s="445">
        <f t="shared" si="41"/>
        <v>961.53600000000006</v>
      </c>
      <c r="S138" s="50"/>
      <c r="T138" s="50"/>
      <c r="U138" s="50"/>
      <c r="V138" s="50"/>
      <c r="W138" s="50"/>
      <c r="X138" s="50"/>
      <c r="Y138" s="50"/>
      <c r="Z138" s="50"/>
      <c r="AA138" s="50"/>
      <c r="AB138" s="50"/>
      <c r="AC138" s="50"/>
      <c r="AD138" s="50"/>
      <c r="AE138" s="50"/>
      <c r="AF138" s="50"/>
      <c r="AG138" s="50"/>
      <c r="AH138" s="50"/>
    </row>
    <row r="139" spans="1:67" x14ac:dyDescent="0.25">
      <c r="A139" s="442" t="s">
        <v>1511</v>
      </c>
      <c r="B139" s="445">
        <f>'Ввод исходных данных'!G70</f>
        <v>23</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0.55652173913043479</v>
      </c>
      <c r="D139" s="443">
        <v>1</v>
      </c>
      <c r="E139" s="445">
        <f t="shared" si="37"/>
        <v>41.328125</v>
      </c>
      <c r="F139" s="446">
        <f t="shared" si="39"/>
        <v>2273.046875</v>
      </c>
      <c r="G139" s="445">
        <f>$E$139*0.024*G$149</f>
        <v>1042.3614375</v>
      </c>
      <c r="H139" s="445">
        <f t="shared" ref="H139:R139" si="42">$E$139*0.024*H$149</f>
        <v>897.05174999999997</v>
      </c>
      <c r="I139" s="445">
        <f t="shared" si="42"/>
        <v>753.32906250000008</v>
      </c>
      <c r="J139" s="445">
        <f t="shared" si="42"/>
        <v>490.97812500000003</v>
      </c>
      <c r="K139" s="445">
        <f t="shared" si="42"/>
        <v>60.603562500000002</v>
      </c>
      <c r="L139" s="445">
        <f t="shared" si="42"/>
        <v>0</v>
      </c>
      <c r="M139" s="445">
        <f t="shared" si="42"/>
        <v>0</v>
      </c>
      <c r="N139" s="445">
        <f t="shared" si="42"/>
        <v>0</v>
      </c>
      <c r="O139" s="445">
        <f t="shared" si="42"/>
        <v>67.695468750000003</v>
      </c>
      <c r="P139" s="445">
        <f t="shared" si="42"/>
        <v>544.24181249999992</v>
      </c>
      <c r="Q139" s="445">
        <f t="shared" si="42"/>
        <v>761.76</v>
      </c>
      <c r="R139" s="445">
        <f t="shared" si="42"/>
        <v>962.41631250000012</v>
      </c>
      <c r="S139" s="50"/>
      <c r="T139" s="50"/>
      <c r="U139" s="50"/>
      <c r="V139" s="50"/>
      <c r="W139" s="50"/>
      <c r="X139" s="50"/>
      <c r="Y139" s="50"/>
      <c r="Z139" s="50"/>
      <c r="AA139" s="50"/>
      <c r="AB139" s="50"/>
      <c r="AC139" s="50"/>
      <c r="AD139" s="50"/>
      <c r="AE139" s="50"/>
      <c r="AF139" s="50"/>
      <c r="AG139" s="50"/>
      <c r="AH139" s="50"/>
    </row>
    <row r="140" spans="1:67" x14ac:dyDescent="0.25">
      <c r="A140" s="442" t="s">
        <v>1293</v>
      </c>
      <c r="B140" s="445">
        <f>'Ввод исходных данных'!G71</f>
        <v>1110</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2.4048531289910602</v>
      </c>
      <c r="D140" s="443">
        <v>1</v>
      </c>
      <c r="E140" s="445">
        <f t="shared" si="37"/>
        <v>461.56664896441845</v>
      </c>
      <c r="F140" s="446">
        <f t="shared" si="39"/>
        <v>25386.165693043014</v>
      </c>
      <c r="G140" s="445">
        <f t="shared" ref="G140:R140" si="43">$E$140*0.024*G$149</f>
        <v>11641.449393520974</v>
      </c>
      <c r="H140" s="445">
        <f t="shared" si="43"/>
        <v>10018.581055762079</v>
      </c>
      <c r="I140" s="445">
        <f t="shared" si="43"/>
        <v>8413.4368773234182</v>
      </c>
      <c r="J140" s="445">
        <f t="shared" si="43"/>
        <v>5483.4117896972912</v>
      </c>
      <c r="K140" s="445">
        <f t="shared" si="43"/>
        <v>676.84133404142324</v>
      </c>
      <c r="L140" s="445">
        <f t="shared" si="43"/>
        <v>0</v>
      </c>
      <c r="M140" s="445">
        <f t="shared" si="43"/>
        <v>0</v>
      </c>
      <c r="N140" s="445">
        <f t="shared" si="43"/>
        <v>0</v>
      </c>
      <c r="O140" s="445">
        <f t="shared" si="43"/>
        <v>756.0461710037174</v>
      </c>
      <c r="P140" s="445">
        <f t="shared" si="43"/>
        <v>6078.2788868826328</v>
      </c>
      <c r="Q140" s="445">
        <f t="shared" si="43"/>
        <v>8507.5964737121612</v>
      </c>
      <c r="R140" s="445">
        <f t="shared" si="43"/>
        <v>10748.594867764205</v>
      </c>
      <c r="S140" s="50"/>
      <c r="T140" s="50"/>
      <c r="U140" s="50"/>
      <c r="V140" s="50"/>
      <c r="W140" s="50"/>
      <c r="X140" s="50"/>
      <c r="Y140" s="50"/>
      <c r="Z140" s="50"/>
      <c r="AA140" s="50"/>
      <c r="AB140" s="50"/>
      <c r="AC140" s="50"/>
      <c r="AD140" s="50"/>
      <c r="AE140" s="50"/>
      <c r="AF140" s="50"/>
      <c r="AG140" s="50"/>
      <c r="AH140" s="50"/>
    </row>
    <row r="141" spans="1:67" x14ac:dyDescent="0.25">
      <c r="A141" s="442" t="s">
        <v>1294</v>
      </c>
      <c r="B141" s="445">
        <f>'Ввод исходных данных'!G73</f>
        <v>0</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3.1072796934865901</v>
      </c>
      <c r="D141" s="876">
        <f>(20-'Расчет базового уровня'!$D$161)/(20-'Расчет базового уровня'!$D$147)</f>
        <v>7.2727272727272724E-2</v>
      </c>
      <c r="E141" s="445">
        <f t="shared" si="37"/>
        <v>0</v>
      </c>
      <c r="F141" s="446">
        <f t="shared" si="39"/>
        <v>0</v>
      </c>
      <c r="G141" s="445">
        <f t="shared" ref="G141:R142" si="44">$E$141*0.024*G$149</f>
        <v>0</v>
      </c>
      <c r="H141" s="445">
        <f t="shared" si="44"/>
        <v>0</v>
      </c>
      <c r="I141" s="445">
        <f t="shared" si="44"/>
        <v>0</v>
      </c>
      <c r="J141" s="445">
        <f t="shared" si="44"/>
        <v>0</v>
      </c>
      <c r="K141" s="445">
        <f t="shared" si="44"/>
        <v>0</v>
      </c>
      <c r="L141" s="445">
        <f t="shared" si="44"/>
        <v>0</v>
      </c>
      <c r="M141" s="445">
        <f t="shared" si="44"/>
        <v>0</v>
      </c>
      <c r="N141" s="445">
        <f t="shared" si="44"/>
        <v>0</v>
      </c>
      <c r="O141" s="445">
        <f t="shared" si="44"/>
        <v>0</v>
      </c>
      <c r="P141" s="445">
        <f t="shared" si="44"/>
        <v>0</v>
      </c>
      <c r="Q141" s="445">
        <f t="shared" si="44"/>
        <v>0</v>
      </c>
      <c r="R141" s="445">
        <f t="shared" si="44"/>
        <v>0</v>
      </c>
      <c r="S141" s="50"/>
      <c r="T141" s="50"/>
      <c r="U141" s="50"/>
      <c r="V141" s="50"/>
      <c r="W141" s="50"/>
      <c r="X141" s="50"/>
      <c r="Y141" s="50"/>
      <c r="Z141" s="50"/>
      <c r="AA141" s="50"/>
      <c r="AB141" s="50"/>
      <c r="AC141" s="50"/>
      <c r="AD141" s="50"/>
      <c r="AE141" s="50"/>
      <c r="AF141" s="50"/>
      <c r="AG141" s="50"/>
      <c r="AH141" s="50"/>
    </row>
    <row r="142" spans="1:67" x14ac:dyDescent="0.25">
      <c r="A142" s="442" t="s">
        <v>1295</v>
      </c>
      <c r="B142" s="445">
        <f>'Ввод исходных данных'!G72</f>
        <v>0</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2.053639846743295</v>
      </c>
      <c r="D142" s="443">
        <v>0.9</v>
      </c>
      <c r="E142" s="445">
        <f t="shared" si="37"/>
        <v>0</v>
      </c>
      <c r="F142" s="446">
        <f t="shared" si="39"/>
        <v>0</v>
      </c>
      <c r="G142" s="445">
        <f t="shared" si="44"/>
        <v>0</v>
      </c>
      <c r="H142" s="445">
        <f t="shared" si="44"/>
        <v>0</v>
      </c>
      <c r="I142" s="445">
        <f t="shared" si="44"/>
        <v>0</v>
      </c>
      <c r="J142" s="445">
        <f t="shared" si="44"/>
        <v>0</v>
      </c>
      <c r="K142" s="445">
        <f t="shared" si="44"/>
        <v>0</v>
      </c>
      <c r="L142" s="445">
        <f t="shared" si="44"/>
        <v>0</v>
      </c>
      <c r="M142" s="445">
        <f t="shared" si="44"/>
        <v>0</v>
      </c>
      <c r="N142" s="445">
        <f t="shared" si="44"/>
        <v>0</v>
      </c>
      <c r="O142" s="445">
        <f t="shared" si="44"/>
        <v>0</v>
      </c>
      <c r="P142" s="445">
        <f t="shared" si="44"/>
        <v>0</v>
      </c>
      <c r="Q142" s="445">
        <f t="shared" si="44"/>
        <v>0</v>
      </c>
      <c r="R142" s="445">
        <f t="shared" si="44"/>
        <v>0</v>
      </c>
      <c r="S142" s="50"/>
      <c r="T142" s="50"/>
      <c r="U142" s="50"/>
      <c r="V142" s="50"/>
      <c r="W142" s="50"/>
      <c r="X142" s="50"/>
      <c r="Y142" s="50"/>
      <c r="Z142" s="50"/>
      <c r="AA142" s="50"/>
      <c r="AB142" s="50"/>
      <c r="AC142" s="50"/>
      <c r="AD142" s="50"/>
      <c r="AE142" s="50"/>
      <c r="AF142" s="50"/>
      <c r="AG142" s="50"/>
      <c r="AH142" s="50"/>
    </row>
    <row r="143" spans="1:67" x14ac:dyDescent="0.25">
      <c r="A143" s="442" t="s">
        <v>1296</v>
      </c>
      <c r="B143" s="445">
        <f>'Ввод исходных данных'!G75</f>
        <v>0</v>
      </c>
      <c r="C143" s="444">
        <f>IF('Ввод исходных данных'!D86=0,'Серии теплотехника'!B51+IF(списки!D37=1,1,0),'Ввод исходных данных'!D86)</f>
        <v>1.053639846743295</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1292</v>
      </c>
      <c r="B144" s="445">
        <f>'Ввод исходных данных'!G74</f>
        <v>811.2</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0.63218390804597702</v>
      </c>
      <c r="D144" s="448">
        <f>(списки!C56-'Расчет базового уровня'!$D$162)/(списки!C56-'Расчет базового уровня'!$D$147)</f>
        <v>0.32727272727272727</v>
      </c>
      <c r="E144" s="445">
        <f t="shared" si="37"/>
        <v>419.94684297520661</v>
      </c>
      <c r="F144" s="446">
        <f t="shared" si="39"/>
        <v>23097.076363636363</v>
      </c>
      <c r="G144" s="445">
        <f>$E$144*0.024*G$149</f>
        <v>10591.731294783469</v>
      </c>
      <c r="H144" s="445">
        <f>$E$144*0.024*H$149</f>
        <v>9115.1981948826433</v>
      </c>
      <c r="I144" s="445">
        <f t="shared" ref="I144:R144" si="46">$E$144*0.024*I$149</f>
        <v>7654.7910537520656</v>
      </c>
      <c r="J144" s="445">
        <f t="shared" si="46"/>
        <v>4988.9684945454546</v>
      </c>
      <c r="K144" s="445">
        <f t="shared" si="46"/>
        <v>615.81005053884303</v>
      </c>
      <c r="L144" s="445">
        <f t="shared" si="46"/>
        <v>0</v>
      </c>
      <c r="M144" s="445">
        <f t="shared" si="46"/>
        <v>0</v>
      </c>
      <c r="N144" s="445">
        <f t="shared" si="46"/>
        <v>0</v>
      </c>
      <c r="O144" s="445">
        <f t="shared" si="46"/>
        <v>687.87292879338838</v>
      </c>
      <c r="P144" s="445">
        <f t="shared" si="46"/>
        <v>5530.1959857719003</v>
      </c>
      <c r="Q144" s="445">
        <f t="shared" si="46"/>
        <v>7740.4602097190082</v>
      </c>
      <c r="R144" s="445">
        <f t="shared" si="46"/>
        <v>9779.3861217322319</v>
      </c>
      <c r="S144" s="50"/>
      <c r="T144" s="50"/>
      <c r="U144" s="50"/>
      <c r="V144" s="50"/>
      <c r="W144" s="50"/>
      <c r="X144" s="50"/>
      <c r="Y144" s="50"/>
      <c r="Z144" s="50"/>
      <c r="AA144" s="50"/>
      <c r="AB144" s="50"/>
      <c r="AC144" s="50"/>
      <c r="AD144" s="50"/>
      <c r="AE144" s="50"/>
      <c r="AF144" s="50"/>
      <c r="AG144" s="50"/>
      <c r="AH144" s="50"/>
    </row>
    <row r="145" spans="1:34" x14ac:dyDescent="0.25">
      <c r="A145" s="442" t="s">
        <v>1214</v>
      </c>
      <c r="B145" s="445">
        <f>'Ввод исходных данных'!G77</f>
        <v>12</v>
      </c>
      <c r="C145" s="878">
        <f>IF('Ввод исходных данных'!D87=0,IF(списки!D35=0,0.5,0.95),'Ввод исходных данных'!D87)</f>
        <v>0.95</v>
      </c>
      <c r="D145" s="448">
        <v>1</v>
      </c>
      <c r="E145" s="445">
        <f t="shared" si="37"/>
        <v>12.631578947368421</v>
      </c>
      <c r="F145" s="446">
        <f t="shared" si="39"/>
        <v>694.73684210526312</v>
      </c>
      <c r="G145" s="445">
        <f>$E$145*0.024*G$149</f>
        <v>318.58863157894734</v>
      </c>
      <c r="H145" s="445">
        <f t="shared" ref="H145:R145" si="47">$E$145*0.024*H$149</f>
        <v>274.17599999999999</v>
      </c>
      <c r="I145" s="445">
        <f t="shared" si="47"/>
        <v>230.24842105263158</v>
      </c>
      <c r="J145" s="445">
        <f t="shared" si="47"/>
        <v>150.06315789473686</v>
      </c>
      <c r="K145" s="445">
        <f t="shared" si="47"/>
        <v>18.522947368421054</v>
      </c>
      <c r="L145" s="445">
        <f t="shared" si="47"/>
        <v>0</v>
      </c>
      <c r="M145" s="445">
        <f t="shared" si="47"/>
        <v>0</v>
      </c>
      <c r="N145" s="445">
        <f t="shared" si="47"/>
        <v>0</v>
      </c>
      <c r="O145" s="445">
        <f t="shared" si="47"/>
        <v>20.690526315789477</v>
      </c>
      <c r="P145" s="445">
        <f t="shared" si="47"/>
        <v>166.34273684210527</v>
      </c>
      <c r="Q145" s="445">
        <f t="shared" si="47"/>
        <v>232.82526315789477</v>
      </c>
      <c r="R145" s="445">
        <f t="shared" si="47"/>
        <v>294.15410526315793</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3950.85</v>
      </c>
      <c r="C146" s="878"/>
      <c r="D146" s="443"/>
      <c r="E146" s="445">
        <f>SUM(E136:E145)</f>
        <v>3973.0887451429949</v>
      </c>
      <c r="F146" s="1441">
        <f>E146*(20-$D$147)/1000</f>
        <v>218.51988098286472</v>
      </c>
      <c r="G146" s="445">
        <f>SUM(G136:G145)</f>
        <v>100207.65509449855</v>
      </c>
      <c r="H146" s="445">
        <f t="shared" ref="H146:R146" si="48">SUM(H136:H145)</f>
        <v>86238.275066575778</v>
      </c>
      <c r="I146" s="445">
        <f t="shared" si="48"/>
        <v>72421.461646466501</v>
      </c>
      <c r="J146" s="445">
        <f t="shared" si="48"/>
        <v>47200.294292298779</v>
      </c>
      <c r="K146" s="445">
        <f t="shared" si="48"/>
        <v>5826.1373358776873</v>
      </c>
      <c r="L146" s="445">
        <f t="shared" si="48"/>
        <v>0</v>
      </c>
      <c r="M146" s="445">
        <f t="shared" si="48"/>
        <v>0</v>
      </c>
      <c r="N146" s="445">
        <f t="shared" si="48"/>
        <v>0</v>
      </c>
      <c r="O146" s="445">
        <f t="shared" si="48"/>
        <v>6507.9193645442256</v>
      </c>
      <c r="P146" s="445">
        <f t="shared" si="48"/>
        <v>52320.811067039052</v>
      </c>
      <c r="Q146" s="445">
        <f t="shared" si="48"/>
        <v>73231.971750475685</v>
      </c>
      <c r="R146" s="445">
        <f t="shared" si="48"/>
        <v>92522.112225893929</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-35</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225</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30</v>
      </c>
      <c r="K148" s="452">
        <f>VLOOKUP(CONCATENATE('Ввод исходных данных'!$D$10,'Ввод исходных данных'!$D$11),Климатология!$D$9:$BF$548,K132+2,0)</f>
        <v>6.5</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6.5</v>
      </c>
      <c r="P148" s="452">
        <f>VLOOKUP(CONCATENATE('Ввод исходных данных'!$D$10,'Ввод исходных данных'!$D$11),Климатология!$D$9:$BF$548,P132+2,0)</f>
        <v>31</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5737.5</v>
      </c>
      <c r="E149" s="50"/>
      <c r="F149" s="285"/>
      <c r="G149" s="452">
        <f>VLOOKUP(CONCATENATE('Ввод исходных данных'!$D$10,'Ввод исходных данных'!$D$11),Климатология!$D$9:$BF$548,G132+3,0)</f>
        <v>1050.8999999999999</v>
      </c>
      <c r="H149" s="452">
        <f>VLOOKUP(CONCATENATE('Ввод исходных данных'!$D$10,'Ввод исходных данных'!$D$11),Климатология!$D$9:$BF$548,H132+3,0)</f>
        <v>904.39999999999986</v>
      </c>
      <c r="I149" s="452">
        <f>VLOOKUP(CONCATENATE('Ввод исходных данных'!$D$10,'Ввод исходных данных'!$D$11),Климатология!$D$9:$BF$548,I132+3,0)</f>
        <v>759.5</v>
      </c>
      <c r="J149" s="452">
        <f>VLOOKUP(CONCATENATE('Ввод исходных данных'!$D$10,'Ввод исходных данных'!$D$11),Климатология!$D$9:$BF$548,J132+3,0)</f>
        <v>495</v>
      </c>
      <c r="K149" s="452">
        <f>VLOOKUP(CONCATENATE('Ввод исходных данных'!$D$10,'Ввод исходных данных'!$D$11),Климатология!$D$9:$BF$548,K132+3,0)</f>
        <v>61.1</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68.25</v>
      </c>
      <c r="P149" s="452">
        <f>VLOOKUP(CONCATENATE('Ввод исходных данных'!$D$10,'Ввод исходных данных'!$D$11),Климатология!$D$9:$BF$548,P132+3,0)</f>
        <v>548.69999999999993</v>
      </c>
      <c r="Q149" s="452">
        <f>VLOOKUP(CONCATENATE('Ввод исходных данных'!$D$10,'Ввод исходных данных'!$D$11),Климатология!$D$9:$BF$548,Q132+3,0)</f>
        <v>768</v>
      </c>
      <c r="R149" s="452">
        <f>VLOOKUP(CONCATENATE('Ввод исходных данных'!$D$10,'Ввод исходных данных'!$D$11),Климатология!$D$9:$BF$548,R132+3,0)</f>
        <v>970.30000000000007</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17</v>
      </c>
      <c r="E150" s="50"/>
      <c r="F150" s="457">
        <f>17*D152/1000</f>
        <v>50.199300000000001</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17.602032520325206</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1358</v>
      </c>
      <c r="B152" s="454" t="s">
        <v>1359</v>
      </c>
      <c r="C152" s="459" t="s">
        <v>492</v>
      </c>
      <c r="D152" s="458">
        <f>'Ввод исходных данных'!G57</f>
        <v>2952.9</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120.11068209760033</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1286</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1.1299999999999999</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1281</v>
      </c>
      <c r="C161" s="451" t="s">
        <v>747</v>
      </c>
      <c r="D161" s="71">
        <f>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1280</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1513</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18045.036274192564</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0.13104601506312683</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3305.1901735161587</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2844.4323845542049</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2388.7067625706754</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1556.8266589499465</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192.16587648856915</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214.65337267340172</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1725.7187631633042</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2415.4401496435535</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3051.6947619780472</v>
      </c>
      <c r="S163" s="50"/>
      <c r="T163" s="50"/>
      <c r="U163" s="50"/>
      <c r="V163" s="50"/>
      <c r="W163" s="50"/>
      <c r="X163" s="50"/>
      <c r="Y163" s="50"/>
      <c r="Z163" s="50"/>
      <c r="AA163" s="50"/>
      <c r="AB163" s="50"/>
      <c r="AC163" s="50"/>
      <c r="AD163" s="50"/>
      <c r="AE163" s="50"/>
    </row>
    <row r="164" spans="1:31" x14ac:dyDescent="0.25">
      <c r="A164" s="431" t="s">
        <v>1514</v>
      </c>
      <c r="B164" s="466"/>
      <c r="C164" s="451" t="s">
        <v>1505</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29.640457595106906</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0">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0</v>
      </c>
      <c r="L168" s="50">
        <f>IFERROR(IF(VLOOKUP(L$131,'Ввод исходных данных'!$C$127:$D$132,2,FALSE)&gt;0,1,0),0)</f>
        <v>0</v>
      </c>
      <c r="M168" s="50">
        <f>IFERROR(IF(VLOOKUP(M$131,'Ввод исходных данных'!$C$127:$D$132,2,FALSE)&gt;0,1,0),0)</f>
        <v>1</v>
      </c>
      <c r="N168" s="50">
        <f>IFERROR(IF(VLOOKUP(N$131,'Ввод исходных данных'!$C$127:$D$132,2,FALSE)&gt;0,1,0),0)</f>
        <v>0</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1414</v>
      </c>
      <c r="C169" s="451" t="s">
        <v>900</v>
      </c>
      <c r="D169" s="470">
        <f>D170*365/(D148+D171*(D172-D148))</f>
        <v>112.95313881520778</v>
      </c>
      <c r="E169" s="50"/>
      <c r="F169" s="285"/>
      <c r="G169" s="470">
        <f>IF(G148&gt;=0.8*G167,$D$169,$D$171*$D$169)</f>
        <v>112.95313881520778</v>
      </c>
      <c r="H169" s="470">
        <f t="shared" ref="H169:R169" si="49">IF(H148&gt;=0.8*H167,$D$169,$D$171*$D$169)</f>
        <v>112.95313881520778</v>
      </c>
      <c r="I169" s="470">
        <f t="shared" si="49"/>
        <v>112.95313881520778</v>
      </c>
      <c r="J169" s="470">
        <f t="shared" si="49"/>
        <v>112.95313881520778</v>
      </c>
      <c r="K169" s="470">
        <f t="shared" si="49"/>
        <v>101.65782493368701</v>
      </c>
      <c r="L169" s="470">
        <f t="shared" si="49"/>
        <v>101.65782493368701</v>
      </c>
      <c r="M169" s="470">
        <f t="shared" si="49"/>
        <v>101.65782493368701</v>
      </c>
      <c r="N169" s="470">
        <f t="shared" si="49"/>
        <v>101.65782493368701</v>
      </c>
      <c r="O169" s="470">
        <f t="shared" si="49"/>
        <v>101.65782493368701</v>
      </c>
      <c r="P169" s="470">
        <f t="shared" si="49"/>
        <v>112.95313881520778</v>
      </c>
      <c r="Q169" s="470">
        <f t="shared" si="49"/>
        <v>112.95313881520778</v>
      </c>
      <c r="R169" s="470">
        <f t="shared" si="49"/>
        <v>112.95313881520778</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352</v>
      </c>
      <c r="E172" s="50">
        <f>SUM(G172:R172)</f>
        <v>352</v>
      </c>
      <c r="F172" s="1770">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31</v>
      </c>
      <c r="L172" s="473">
        <f>L167-L168*IFERROR(VLOOKUP(L$131,'Ввод исходных данных'!$C$127:$D$132,2,FALSE),0)</f>
        <v>30</v>
      </c>
      <c r="M172" s="473">
        <f>M167-M168*IFERROR(VLOOKUP(M$131,'Ввод исходных данных'!$C$127:$D$132,2,FALSE),0)</f>
        <v>18</v>
      </c>
      <c r="N172" s="473">
        <f>N167-N168*IFERROR(VLOOKUP(N$131,'Ввод исходных данных'!$C$127:$D$132,2,FALSE),0)</f>
        <v>31</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1.1577696728558797</v>
      </c>
      <c r="E173" s="50"/>
      <c r="F173" s="50"/>
      <c r="G173" s="474">
        <f>G169*'Ввод исходных данных'!$D$22/24/1000</f>
        <v>1.1577696728558797</v>
      </c>
      <c r="H173" s="474">
        <f>H169*'Ввод исходных данных'!$D$22/24/1000</f>
        <v>1.1577696728558797</v>
      </c>
      <c r="I173" s="474">
        <f>I169*'Ввод исходных данных'!$D$22/24/1000</f>
        <v>1.1577696728558797</v>
      </c>
      <c r="J173" s="474">
        <f>J169*'Ввод исходных данных'!$D$22/24/1000</f>
        <v>1.1577696728558797</v>
      </c>
      <c r="K173" s="474">
        <f>K169*'Ввод исходных данных'!$D$22/24/1000</f>
        <v>1.0419927055702918</v>
      </c>
      <c r="L173" s="474">
        <f>L169*'Ввод исходных данных'!$D$22/24/1000</f>
        <v>1.0419927055702918</v>
      </c>
      <c r="M173" s="474">
        <f>M169*'Ввод исходных данных'!$D$22/24/1000</f>
        <v>1.0419927055702918</v>
      </c>
      <c r="N173" s="474">
        <f>N169*'Ввод исходных данных'!$D$22/24/1000</f>
        <v>1.0419927055702918</v>
      </c>
      <c r="O173" s="474">
        <f>O169*'Ввод исходных данных'!$D$22/24/1000</f>
        <v>1.0419927055702918</v>
      </c>
      <c r="P173" s="474">
        <f>P169*'Ввод исходных данных'!$D$22/24/1000</f>
        <v>1.1577696728558797</v>
      </c>
      <c r="Q173" s="474">
        <f>Q169*'Ввод исходных данных'!$D$22/24/1000</f>
        <v>1.1577696728558797</v>
      </c>
      <c r="R173" s="474">
        <f>R169*'Ввод исходных данных'!$D$22/24/1000</f>
        <v>1.1577696728558797</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5.1120382481046178</v>
      </c>
      <c r="E174" s="50">
        <f>D174*(60-5)*4.2/3.6*1.1</f>
        <v>360.82469967871765</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19.629529853128993</v>
      </c>
      <c r="E175" s="50">
        <f>E174*0.86/1000</f>
        <v>0.31030924172369717</v>
      </c>
      <c r="F175" s="50"/>
      <c r="G175" s="475">
        <f xml:space="preserve"> (G169*($D$176-IF(G148&gt;=0.8*G167,$D$177,списки!$C$61))*(1+$D$178)*1*$D$179)/(3.6*24*$D$180)</f>
        <v>19.629529853128993</v>
      </c>
      <c r="H175" s="475">
        <f xml:space="preserve"> (H169*($D$176-IF(H148&gt;=0.8*H167,$D$177,списки!$C$61))*(1+$D$178)*1*$D$179)/(3.6*24*$D$180)</f>
        <v>19.629529853128993</v>
      </c>
      <c r="I175" s="475">
        <f xml:space="preserve"> (I169*($D$176-IF(I148&gt;=0.8*I167,$D$177,списки!$C$61))*(1+$D$178)*1*$D$179)/(3.6*24*$D$180)</f>
        <v>19.629529853128993</v>
      </c>
      <c r="J175" s="475">
        <f xml:space="preserve"> (J169*($D$176-IF(J148&gt;=0.8*J167,$D$177,списки!$C$61))*(1+$D$178)*1*$D$179)/(3.6*24*$D$180)</f>
        <v>19.629529853128993</v>
      </c>
      <c r="K175" s="475">
        <f xml:space="preserve"> (K169*($D$176-IF(K148&gt;=0.8*K167,$D$177,списки!$C$61))*(1+$D$178)*1*$D$179)/(3.6*24*$D$180)</f>
        <v>14.454471982758621</v>
      </c>
      <c r="L175" s="475">
        <f xml:space="preserve"> (L169*($D$176-IF(L148&gt;=0.8*L167,$D$177,списки!$C$61))*(1+$D$178)*1*$D$179)/(3.6*24*$D$180)</f>
        <v>14.454471982758621</v>
      </c>
      <c r="M175" s="475">
        <f xml:space="preserve"> (M169*($D$176-IF(M148&gt;=0.8*M167,$D$177,списки!$C$61))*(1+$D$178)*1*$D$179)/(3.6*24*$D$180)</f>
        <v>14.454471982758621</v>
      </c>
      <c r="N175" s="475">
        <f xml:space="preserve"> (N169*($D$176-IF(N148&gt;=0.8*N167,$D$177,списки!$C$61))*(1+$D$178)*1*$D$179)/(3.6*24*$D$180)</f>
        <v>14.454471982758621</v>
      </c>
      <c r="O175" s="475">
        <f xml:space="preserve"> (O169*($D$176-IF(O148&gt;=0.8*O167,$D$177,списки!$C$61))*(1+$D$178)*1*$D$179)/(3.6*24*$D$180)</f>
        <v>14.454471982758621</v>
      </c>
      <c r="P175" s="475">
        <f xml:space="preserve"> (P169*($D$176-IF(P148&gt;=0.8*P167,$D$177,списки!$C$61))*(1+$D$178)*1*$D$179)/(3.6*24*$D$180)</f>
        <v>19.629529853128993</v>
      </c>
      <c r="Q175" s="475">
        <f xml:space="preserve"> (Q169*($D$176-IF(Q148&gt;=0.8*Q167,$D$177,списки!$C$61))*(1+$D$178)*1*$D$179)/(3.6*24*$D$180)</f>
        <v>19.629529853128993</v>
      </c>
      <c r="R175" s="475">
        <f xml:space="preserve"> (R169*($D$176-IF(R148&gt;=0.8*R167,$D$177,списки!$C$61))*(1+$D$178)*1*$D$179)/(3.6*24*$D$180)</f>
        <v>19.629529853128993</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0.3</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1219</v>
      </c>
      <c r="B179" s="477"/>
      <c r="C179" s="451" t="s">
        <v>1220</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1415</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17.602032520325206</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1495</v>
      </c>
      <c r="B183" s="477" t="s">
        <v>1496</v>
      </c>
      <c r="C183" s="451" t="s">
        <v>1502</v>
      </c>
      <c r="D183" s="470">
        <f>0.28*'Ввод исходных данных'!$G$60*(D185-D186)+0.03*D185*Климатология!$H$2^2</f>
        <v>8.795779199387578</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1498</v>
      </c>
      <c r="B184" s="477" t="s">
        <v>1497</v>
      </c>
      <c r="C184" s="451" t="s">
        <v>1502</v>
      </c>
      <c r="D184" s="470">
        <f>0.55*('Ввод исходных данных'!$G$60-1)*(D185-D186)+0.03*D185*Климатология!$H$2^2</f>
        <v>12.328489872093392</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1499</v>
      </c>
      <c r="B185" s="477"/>
      <c r="C185" s="451" t="s">
        <v>1503</v>
      </c>
      <c r="D185" s="470">
        <f>3463/(273+Климатология!$F$2)</f>
        <v>12.945794392523364</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1500</v>
      </c>
      <c r="B186" s="477"/>
      <c r="C186" s="451" t="s">
        <v>1503</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1494</v>
      </c>
      <c r="B187" s="477"/>
      <c r="C187" s="451" t="s">
        <v>1504</v>
      </c>
      <c r="D187" s="479">
        <f>0.12*(1-'Ввод исходных данных'!$D$34/'Ввод исходных данных'!$G$66)+0.86*'Ввод исходных данных'!$D$34/'Ввод исходных данных'!$G$66</f>
        <v>0.49</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1493</v>
      </c>
      <c r="B188" s="477"/>
      <c r="C188" s="451" t="s">
        <v>1504</v>
      </c>
      <c r="D188" s="479">
        <f>IF(списки!$D$35=0,0.14,0.16)</f>
        <v>0.16</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1492</v>
      </c>
      <c r="B189" s="477"/>
      <c r="C189" s="451" t="s">
        <v>1505</v>
      </c>
      <c r="D189" s="470">
        <f>(B138/D187)*(D183/10)^(2/3)</f>
        <v>35.971180813766253</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1491</v>
      </c>
      <c r="B190" s="477"/>
      <c r="C190" s="451" t="s">
        <v>1505</v>
      </c>
      <c r="D190" s="470">
        <f>(B145/D188)*(D184/10)^(1/2)</f>
        <v>83.275299777620333</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1490</v>
      </c>
      <c r="B191" s="477"/>
      <c r="C191" s="451" t="s">
        <v>1505</v>
      </c>
      <c r="D191" s="470">
        <f>D189+D190</f>
        <v>119.24648059138659</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1489</v>
      </c>
      <c r="B192" s="477"/>
      <c r="C192" s="451" t="s">
        <v>496</v>
      </c>
      <c r="D192" s="470">
        <f>0.024*$D$189*'Расчет базового уровня'!$D$149*0.28</f>
        <v>1386.9048474555718</v>
      </c>
      <c r="E192" s="50"/>
      <c r="F192" s="50"/>
      <c r="G192" s="470">
        <f>0.024*$D$189*'Расчет базового уровня'!G$149*0.28</f>
        <v>254.03020552349633</v>
      </c>
      <c r="H192" s="470">
        <f>0.024*$D$189*'Расчет базового уровня'!H$149*0.28</f>
        <v>218.61729743595973</v>
      </c>
      <c r="I192" s="470">
        <f>0.024*$D$189*'Расчет базового уровня'!I$149*0.28</f>
        <v>183.59115148453276</v>
      </c>
      <c r="J192" s="470">
        <f>0.024*$D$189*'Расчет базового уровня'!J$149*0.28</f>
        <v>119.65453585891208</v>
      </c>
      <c r="K192" s="470">
        <f>0.024*$D$189*'Расчет базового уровня'!K$149*0.28</f>
        <v>14.769479072685915</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16.497822368425755</v>
      </c>
      <c r="P192" s="470">
        <f>0.024*$D$189*'Расчет базового уровня'!P$149*0.28</f>
        <v>132.63524005209101</v>
      </c>
      <c r="Q192" s="470">
        <f>0.024*$D$189*'Расчет базового уровня'!Q$149*0.28</f>
        <v>185.64582533261512</v>
      </c>
      <c r="R192" s="470">
        <f>0.024*$D$189*'Расчет базового уровня'!R$149*0.28</f>
        <v>234.54706291697454</v>
      </c>
      <c r="S192" s="50"/>
      <c r="T192" s="50"/>
      <c r="U192" s="50"/>
      <c r="V192" s="50"/>
      <c r="W192" s="50"/>
      <c r="X192" s="50"/>
      <c r="Y192" s="50"/>
      <c r="Z192" s="50"/>
      <c r="AA192" s="50"/>
      <c r="AB192" s="50"/>
      <c r="AC192" s="50"/>
      <c r="AD192" s="50"/>
      <c r="AE192" s="50"/>
    </row>
    <row r="193" spans="1:31" x14ac:dyDescent="0.25">
      <c r="A193" s="472" t="s">
        <v>1488</v>
      </c>
      <c r="B193" s="477"/>
      <c r="C193" s="451" t="s">
        <v>496</v>
      </c>
      <c r="D193" s="470">
        <f>0.024*$D$190*'Расчет базового уровня'!$D$149*0.28</f>
        <v>3210.76245822593</v>
      </c>
      <c r="E193" s="50"/>
      <c r="F193" s="50"/>
      <c r="G193" s="470">
        <f>0.024*$D$190*'Расчет базового уровня'!G$149*0.28</f>
        <v>588.09416424394408</v>
      </c>
      <c r="H193" s="470">
        <f>0.024*$D$190*'Расчет базового уровня'!H$149*0.28</f>
        <v>506.11129711887241</v>
      </c>
      <c r="I193" s="470">
        <f>0.024*$D$190*'Расчет базового уровня'!I$149*0.28</f>
        <v>425.0238060170098</v>
      </c>
      <c r="J193" s="470">
        <f>0.024*$D$190*'Расчет базового уровня'!J$149*0.28</f>
        <v>277.00695718027629</v>
      </c>
      <c r="K193" s="470">
        <f>0.024*$D$190*'Расчет базового уровня'!K$149*0.28</f>
        <v>34.192171886292691</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38.19338349000779</v>
      </c>
      <c r="P193" s="470">
        <f>0.024*$D$190*'Расчет базового уровня'!P$149*0.28</f>
        <v>307.05801495922748</v>
      </c>
      <c r="Q193" s="470">
        <f>0.024*$D$190*'Расчет базового уровня'!Q$149*0.28</f>
        <v>429.78049114030745</v>
      </c>
      <c r="R193" s="470">
        <f>0.024*$D$190*'Расчет базового уровня'!R$149*0.28</f>
        <v>542.98959707479219</v>
      </c>
      <c r="S193" s="50"/>
      <c r="T193" s="50"/>
      <c r="U193" s="50"/>
      <c r="V193" s="50"/>
      <c r="W193" s="50"/>
      <c r="X193" s="50"/>
      <c r="Y193" s="50"/>
      <c r="Z193" s="50"/>
      <c r="AA193" s="50"/>
      <c r="AB193" s="50"/>
      <c r="AC193" s="50"/>
      <c r="AD193" s="50"/>
      <c r="AE193" s="50"/>
    </row>
    <row r="194" spans="1:31" x14ac:dyDescent="0.25">
      <c r="A194" s="472" t="s">
        <v>1487</v>
      </c>
      <c r="B194" s="477"/>
      <c r="C194" s="451" t="s">
        <v>496</v>
      </c>
      <c r="D194" s="470">
        <f>0.024*$D$191*'Расчет базового уровня'!$D$149*0.28</f>
        <v>4597.6673056815016</v>
      </c>
      <c r="E194" s="50"/>
      <c r="F194" s="50"/>
      <c r="G194" s="470">
        <f>0.024*$D$191*'Расчет базового уровня'!G$149*0.28</f>
        <v>842.1243697674405</v>
      </c>
      <c r="H194" s="470">
        <f>0.024*$D$191*'Расчет базового уровня'!H$149*0.28</f>
        <v>724.72859455483217</v>
      </c>
      <c r="I194" s="470">
        <f>0.024*$D$191*'Расчет базового уровня'!I$149*0.28</f>
        <v>608.61495750154256</v>
      </c>
      <c r="J194" s="470">
        <f>0.024*$D$191*'Расчет базового уровня'!J$149*0.28</f>
        <v>396.66149303918843</v>
      </c>
      <c r="K194" s="470">
        <f>0.024*$D$191*'Расчет базового уровня'!K$149*0.28</f>
        <v>48.961650958978616</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54.691205858433555</v>
      </c>
      <c r="P194" s="470">
        <f>0.024*$D$191*'Расчет базового уровня'!P$149*0.28</f>
        <v>439.69325501131846</v>
      </c>
      <c r="Q194" s="470">
        <f>0.024*$D$191*'Расчет базового уровня'!Q$149*0.28</f>
        <v>615.42631647292262</v>
      </c>
      <c r="R194" s="470">
        <f>0.024*$D$191*'Расчет базового уровня'!R$149*0.28</f>
        <v>777.53665999176678</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R33:T33"/>
    <mergeCell ref="O33:Q33"/>
    <mergeCell ref="L33:N33"/>
    <mergeCell ref="I33:K33"/>
    <mergeCell ref="S83:T83"/>
    <mergeCell ref="Q83:R83"/>
    <mergeCell ref="O83:P83"/>
    <mergeCell ref="M83:N83"/>
    <mergeCell ref="K83:L83"/>
    <mergeCell ref="S98:T98"/>
    <mergeCell ref="Q98:R98"/>
    <mergeCell ref="O98:P98"/>
    <mergeCell ref="M98:N98"/>
    <mergeCell ref="K98:L98"/>
    <mergeCell ref="U98:V98"/>
    <mergeCell ref="AE98:AF98"/>
    <mergeCell ref="W98:X98"/>
    <mergeCell ref="U83:V83"/>
    <mergeCell ref="W83:X83"/>
    <mergeCell ref="Y83:Z83"/>
    <mergeCell ref="AA83:AB83"/>
    <mergeCell ref="AC83:AD83"/>
    <mergeCell ref="AE83:AF83"/>
    <mergeCell ref="Y98:Z98"/>
    <mergeCell ref="AA98:AB98"/>
    <mergeCell ref="AC98:AD98"/>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M4:AO4"/>
    <mergeCell ref="AP4:AR4"/>
    <mergeCell ref="A32:D32"/>
    <mergeCell ref="R4:T4"/>
    <mergeCell ref="U4:W4"/>
    <mergeCell ref="X4:Z4"/>
    <mergeCell ref="AA4:AC4"/>
    <mergeCell ref="AD4:AF4"/>
    <mergeCell ref="AG4:AI4"/>
    <mergeCell ref="O4:Q4"/>
    <mergeCell ref="L4:N4"/>
    <mergeCell ref="I4:K4"/>
    <mergeCell ref="H4:H5"/>
    <mergeCell ref="G4:G5"/>
    <mergeCell ref="A3:E3"/>
    <mergeCell ref="A4:A5"/>
    <mergeCell ref="B4:B5"/>
    <mergeCell ref="C4:C5"/>
    <mergeCell ref="D4:D5"/>
    <mergeCell ref="E4:E5"/>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103</vt:i4>
      </vt:variant>
    </vt:vector>
  </HeadingPairs>
  <TitlesOfParts>
    <vt:vector size="124"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'Ввод исходных данных'!CircHeatLose</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2019-12-16T08:03:54Z</cp:lastPrinted>
  <dcterms:created xsi:type="dcterms:W3CDTF">2016-10-10T08:58:27Z</dcterms:created>
  <dcterms:modified xsi:type="dcterms:W3CDTF">2021-07-16T10:03:15Z</dcterms:modified>
  <cp:category>Приложение</cp:category>
</cp:coreProperties>
</file>